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UTURE GOLF\NUOVO SITE\DOWNLOADS\"/>
    </mc:Choice>
  </mc:AlternateContent>
  <bookViews>
    <workbookView xWindow="0" yWindow="0" windowWidth="15360" windowHeight="7650" firstSheet="2" activeTab="4"/>
  </bookViews>
  <sheets>
    <sheet name="gioco" sheetId="1" state="hidden" r:id="rId1"/>
    <sheet name="bastoni" sheetId="2" state="hidden" r:id="rId2"/>
    <sheet name="tabelle" sheetId="4" r:id="rId3"/>
    <sheet name="x word" sheetId="7" state="hidden" r:id="rId4"/>
    <sheet name="SCORE" sheetId="6" r:id="rId5"/>
  </sheets>
  <definedNames>
    <definedName name="_xlnm.Print_Area" localSheetId="4">SCORE!$B$13:$V$56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8" i="7" l="1"/>
  <c r="K29" i="7"/>
  <c r="L29" i="7"/>
  <c r="K30" i="7"/>
  <c r="L30" i="7" s="1"/>
  <c r="K31" i="7"/>
  <c r="L31" i="7" s="1"/>
  <c r="K32" i="7"/>
  <c r="L32" i="7" s="1"/>
  <c r="K33" i="7"/>
  <c r="L33" i="7" s="1"/>
  <c r="K34" i="7"/>
  <c r="L34" i="7" s="1"/>
  <c r="K35" i="7"/>
  <c r="L35" i="7" s="1"/>
  <c r="K36" i="7"/>
  <c r="L36" i="7" s="1"/>
  <c r="U25" i="7"/>
  <c r="U26" i="7" s="1"/>
  <c r="V26" i="7"/>
  <c r="V27" i="7"/>
  <c r="U39" i="7"/>
  <c r="U40" i="7" s="1"/>
  <c r="V40" i="7" s="1"/>
  <c r="L54" i="7"/>
  <c r="K53" i="7"/>
  <c r="K55" i="7" s="1"/>
  <c r="L55" i="7" s="1"/>
  <c r="L51" i="7"/>
  <c r="L50" i="7"/>
  <c r="K49" i="7"/>
  <c r="K52" i="7" s="1"/>
  <c r="L52" i="7" s="1"/>
  <c r="L45" i="7"/>
  <c r="K44" i="7"/>
  <c r="K47" i="7" s="1"/>
  <c r="L47" i="7" s="1"/>
  <c r="V34" i="7"/>
  <c r="U33" i="7"/>
  <c r="U38" i="7" s="1"/>
  <c r="V38" i="7" s="1"/>
  <c r="L38" i="7"/>
  <c r="K37" i="7"/>
  <c r="K42" i="7" s="1"/>
  <c r="L42" i="7" s="1"/>
  <c r="V16" i="7"/>
  <c r="U15" i="7"/>
  <c r="L18" i="7"/>
  <c r="K17" i="7"/>
  <c r="K27" i="7" s="1"/>
  <c r="L27" i="7" s="1"/>
  <c r="V4" i="7"/>
  <c r="U3" i="7"/>
  <c r="K16" i="7"/>
  <c r="L16" i="7" s="1"/>
  <c r="K15" i="7"/>
  <c r="L15" i="7" s="1"/>
  <c r="K14" i="7"/>
  <c r="L14" i="7" s="1"/>
  <c r="K13" i="7"/>
  <c r="L13" i="7" s="1"/>
  <c r="K12" i="7"/>
  <c r="L12" i="7" s="1"/>
  <c r="K11" i="7"/>
  <c r="L11" i="7" s="1"/>
  <c r="K10" i="7"/>
  <c r="L10" i="7" s="1"/>
  <c r="K9" i="7"/>
  <c r="L9" i="7" s="1"/>
  <c r="K8" i="7"/>
  <c r="L8" i="7" s="1"/>
  <c r="K7" i="7"/>
  <c r="L7" i="7" s="1"/>
  <c r="K6" i="7"/>
  <c r="L6" i="7" s="1"/>
  <c r="L5" i="7"/>
  <c r="K5" i="7"/>
  <c r="K4" i="7"/>
  <c r="K2" i="7"/>
  <c r="I2" i="7"/>
  <c r="G2" i="7"/>
  <c r="L2" i="7" s="1"/>
  <c r="U32" i="7" l="1"/>
  <c r="V32" i="7" s="1"/>
  <c r="U27" i="7"/>
  <c r="K38" i="7"/>
  <c r="K39" i="7"/>
  <c r="L39" i="7" s="1"/>
  <c r="K43" i="7"/>
  <c r="L43" i="7" s="1"/>
  <c r="K45" i="7"/>
  <c r="K46" i="7"/>
  <c r="L46" i="7" s="1"/>
  <c r="K41" i="7"/>
  <c r="L41" i="7" s="1"/>
  <c r="K48" i="7"/>
  <c r="L48" i="7" s="1"/>
  <c r="K20" i="7"/>
  <c r="L20" i="7" s="1"/>
  <c r="K22" i="7"/>
  <c r="L22" i="7" s="1"/>
  <c r="K24" i="7"/>
  <c r="L24" i="7" s="1"/>
  <c r="K26" i="7"/>
  <c r="L26" i="7" s="1"/>
  <c r="K18" i="7"/>
  <c r="K19" i="7"/>
  <c r="L19" i="7" s="1"/>
  <c r="K21" i="7"/>
  <c r="L21" i="7" s="1"/>
  <c r="K23" i="7"/>
  <c r="L23" i="7" s="1"/>
  <c r="K25" i="7"/>
  <c r="L25" i="7" s="1"/>
  <c r="K40" i="7"/>
  <c r="L40" i="7" s="1"/>
  <c r="K54" i="7"/>
  <c r="U14" i="7"/>
  <c r="V14" i="7" s="1"/>
  <c r="U13" i="7"/>
  <c r="V13" i="7" s="1"/>
  <c r="U12" i="7"/>
  <c r="V12" i="7" s="1"/>
  <c r="U11" i="7"/>
  <c r="V11" i="7" s="1"/>
  <c r="U10" i="7"/>
  <c r="V10" i="7" s="1"/>
  <c r="U9" i="7"/>
  <c r="V9" i="7" s="1"/>
  <c r="U8" i="7"/>
  <c r="V8" i="7" s="1"/>
  <c r="U7" i="7"/>
  <c r="V7" i="7" s="1"/>
  <c r="U6" i="7"/>
  <c r="V6" i="7" s="1"/>
  <c r="U5" i="7"/>
  <c r="V5" i="7" s="1"/>
  <c r="U4" i="7"/>
  <c r="U24" i="7"/>
  <c r="V24" i="7" s="1"/>
  <c r="U23" i="7"/>
  <c r="V23" i="7" s="1"/>
  <c r="U22" i="7"/>
  <c r="V22" i="7" s="1"/>
  <c r="U21" i="7"/>
  <c r="V21" i="7" s="1"/>
  <c r="U20" i="7"/>
  <c r="V20" i="7" s="1"/>
  <c r="U19" i="7"/>
  <c r="V19" i="7" s="1"/>
  <c r="U18" i="7"/>
  <c r="V18" i="7" s="1"/>
  <c r="U17" i="7"/>
  <c r="V17" i="7" s="1"/>
  <c r="U16" i="7"/>
  <c r="U28" i="7"/>
  <c r="V28" i="7" s="1"/>
  <c r="U29" i="7"/>
  <c r="V29" i="7" s="1"/>
  <c r="U30" i="7"/>
  <c r="V30" i="7" s="1"/>
  <c r="U31" i="7"/>
  <c r="V31" i="7" s="1"/>
  <c r="U34" i="7"/>
  <c r="U35" i="7"/>
  <c r="V35" i="7" s="1"/>
  <c r="U36" i="7"/>
  <c r="V36" i="7" s="1"/>
  <c r="U37" i="7"/>
  <c r="V37" i="7" s="1"/>
  <c r="K50" i="7"/>
  <c r="K51" i="7"/>
  <c r="O9" i="6" l="1"/>
  <c r="K93" i="4"/>
  <c r="K90" i="4"/>
  <c r="K86" i="4"/>
  <c r="K81" i="4"/>
  <c r="K75" i="4"/>
  <c r="K68" i="4"/>
  <c r="K60" i="4"/>
  <c r="K51" i="4"/>
  <c r="K41" i="4"/>
  <c r="K30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5" i="4"/>
  <c r="O52" i="6" l="1"/>
  <c r="O51" i="6"/>
  <c r="O48" i="6"/>
  <c r="O40" i="6"/>
  <c r="O15" i="6"/>
  <c r="O29" i="6"/>
  <c r="O19" i="6"/>
  <c r="O18" i="6"/>
  <c r="K94" i="4"/>
  <c r="F9" i="6"/>
  <c r="F10" i="6"/>
  <c r="F11" i="6"/>
  <c r="J11" i="6"/>
  <c r="M11" i="6" s="1"/>
  <c r="J10" i="6"/>
  <c r="M10" i="6" s="1"/>
  <c r="J9" i="6"/>
  <c r="M9" i="6" s="1"/>
  <c r="J8" i="6"/>
  <c r="M8" i="6" s="1"/>
  <c r="J7" i="6"/>
  <c r="M7" i="6" s="1"/>
  <c r="J6" i="6"/>
  <c r="M6" i="6" s="1"/>
  <c r="J5" i="6"/>
  <c r="M5" i="6" s="1"/>
  <c r="J4" i="6"/>
  <c r="M4" i="6" s="1"/>
  <c r="J3" i="6"/>
  <c r="M3" i="6" s="1"/>
  <c r="K11" i="6"/>
  <c r="K10" i="6"/>
  <c r="K9" i="6"/>
  <c r="K8" i="6"/>
  <c r="K7" i="6"/>
  <c r="K6" i="6"/>
  <c r="K5" i="6"/>
  <c r="K4" i="6"/>
  <c r="K3" i="6"/>
  <c r="G3" i="6"/>
  <c r="F47" i="6" s="1"/>
  <c r="K47" i="6" s="1"/>
  <c r="AA18" i="6"/>
  <c r="AB18" i="6"/>
  <c r="AC18" i="6"/>
  <c r="AD18" i="6"/>
  <c r="AE18" i="6"/>
  <c r="AF18" i="6"/>
  <c r="AG18" i="6"/>
  <c r="AH18" i="6"/>
  <c r="AI18" i="6"/>
  <c r="AJ18" i="6"/>
  <c r="AJ19" i="6"/>
  <c r="AJ5" i="6" s="1"/>
  <c r="AI19" i="6"/>
  <c r="AI14" i="6" s="1"/>
  <c r="AH19" i="6"/>
  <c r="AH5" i="6" s="1"/>
  <c r="AG19" i="6"/>
  <c r="AG15" i="6" s="1"/>
  <c r="AF19" i="6"/>
  <c r="AF5" i="6" s="1"/>
  <c r="AE19" i="6"/>
  <c r="AE14" i="6" s="1"/>
  <c r="AD19" i="6"/>
  <c r="AD5" i="6" s="1"/>
  <c r="AC19" i="6"/>
  <c r="AC15" i="6" s="1"/>
  <c r="AB19" i="6"/>
  <c r="AB5" i="6" s="1"/>
  <c r="AA19" i="6"/>
  <c r="AA14" i="6" s="1"/>
  <c r="AJ17" i="6"/>
  <c r="AI17" i="6"/>
  <c r="AH17" i="6"/>
  <c r="AG17" i="6"/>
  <c r="AF17" i="6"/>
  <c r="AE17" i="6"/>
  <c r="AD17" i="6"/>
  <c r="AC17" i="6"/>
  <c r="AB17" i="6"/>
  <c r="AA17" i="6"/>
  <c r="AJ16" i="6"/>
  <c r="AI16" i="6"/>
  <c r="AH16" i="6"/>
  <c r="AG16" i="6"/>
  <c r="AF16" i="6"/>
  <c r="AE16" i="6"/>
  <c r="AD16" i="6"/>
  <c r="AC16" i="6"/>
  <c r="AB16" i="6"/>
  <c r="AA16" i="6"/>
  <c r="G11" i="6"/>
  <c r="F44" i="6" s="1"/>
  <c r="G10" i="6"/>
  <c r="G9" i="6"/>
  <c r="F42" i="6" s="1"/>
  <c r="G8" i="6"/>
  <c r="G7" i="6"/>
  <c r="F51" i="6" s="1"/>
  <c r="G6" i="6"/>
  <c r="G5" i="6"/>
  <c r="F16" i="6" s="1"/>
  <c r="G4" i="6"/>
  <c r="M39" i="6" l="1"/>
  <c r="M17" i="6"/>
  <c r="M50" i="6"/>
  <c r="M28" i="6"/>
  <c r="M41" i="6"/>
  <c r="M19" i="6"/>
  <c r="M30" i="6"/>
  <c r="M52" i="6"/>
  <c r="M43" i="6"/>
  <c r="M21" i="6"/>
  <c r="M54" i="6"/>
  <c r="M32" i="6"/>
  <c r="M47" i="6"/>
  <c r="M53" i="6"/>
  <c r="M31" i="6"/>
  <c r="M20" i="6"/>
  <c r="M42" i="6"/>
  <c r="M55" i="6"/>
  <c r="M33" i="6"/>
  <c r="M44" i="6"/>
  <c r="M22" i="6"/>
  <c r="O50" i="6"/>
  <c r="H3" i="6"/>
  <c r="I3" i="6"/>
  <c r="J36" i="6"/>
  <c r="H5" i="6"/>
  <c r="I5" i="6"/>
  <c r="J29" i="6"/>
  <c r="H7" i="6"/>
  <c r="I7" i="6"/>
  <c r="J31" i="6"/>
  <c r="H9" i="6"/>
  <c r="I9" i="6"/>
  <c r="H11" i="6"/>
  <c r="I11" i="6"/>
  <c r="J37" i="6"/>
  <c r="I4" i="6"/>
  <c r="H4" i="6"/>
  <c r="J39" i="6"/>
  <c r="H6" i="6"/>
  <c r="I6" i="6"/>
  <c r="J41" i="6"/>
  <c r="I8" i="6"/>
  <c r="I41" i="6" s="1"/>
  <c r="H8" i="6"/>
  <c r="J54" i="6"/>
  <c r="H10" i="6"/>
  <c r="I10" i="6"/>
  <c r="K16" i="6"/>
  <c r="O49" i="6"/>
  <c r="M49" i="6" s="1"/>
  <c r="J15" i="6"/>
  <c r="F14" i="6"/>
  <c r="K14" i="6" s="1"/>
  <c r="F22" i="6"/>
  <c r="F36" i="6"/>
  <c r="K36" i="6" s="1"/>
  <c r="F40" i="6"/>
  <c r="I29" i="6"/>
  <c r="L29" i="6" s="1"/>
  <c r="J19" i="6"/>
  <c r="F18" i="6"/>
  <c r="F31" i="6"/>
  <c r="J48" i="6"/>
  <c r="J50" i="6"/>
  <c r="J52" i="6"/>
  <c r="F53" i="6"/>
  <c r="J25" i="6"/>
  <c r="J17" i="6"/>
  <c r="J21" i="6"/>
  <c r="J30" i="6"/>
  <c r="F20" i="6"/>
  <c r="F29" i="6"/>
  <c r="F33" i="6"/>
  <c r="J43" i="6"/>
  <c r="F55" i="6"/>
  <c r="F48" i="6"/>
  <c r="K48" i="6" s="1"/>
  <c r="F15" i="6"/>
  <c r="F37" i="6"/>
  <c r="F39" i="6"/>
  <c r="F28" i="6"/>
  <c r="F17" i="6"/>
  <c r="F50" i="6"/>
  <c r="F41" i="6"/>
  <c r="F30" i="6"/>
  <c r="F19" i="6"/>
  <c r="F52" i="6"/>
  <c r="F43" i="6"/>
  <c r="F32" i="6"/>
  <c r="K32" i="6" s="1"/>
  <c r="F21" i="6"/>
  <c r="F54" i="6"/>
  <c r="J14" i="6"/>
  <c r="L3" i="6"/>
  <c r="J47" i="6"/>
  <c r="J49" i="6"/>
  <c r="J16" i="6"/>
  <c r="L5" i="6"/>
  <c r="J38" i="6"/>
  <c r="J40" i="6"/>
  <c r="J18" i="6"/>
  <c r="L7" i="6"/>
  <c r="J51" i="6"/>
  <c r="J53" i="6"/>
  <c r="J20" i="6"/>
  <c r="L9" i="6"/>
  <c r="J42" i="6"/>
  <c r="J55" i="6"/>
  <c r="J22" i="6"/>
  <c r="L11" i="6"/>
  <c r="J44" i="6"/>
  <c r="J27" i="6"/>
  <c r="J33" i="6"/>
  <c r="F26" i="6"/>
  <c r="L4" i="6"/>
  <c r="L6" i="6"/>
  <c r="L8" i="6"/>
  <c r="L10" i="6"/>
  <c r="J26" i="6"/>
  <c r="J28" i="6"/>
  <c r="J32" i="6"/>
  <c r="F25" i="6"/>
  <c r="K25" i="6" s="1"/>
  <c r="O17" i="6"/>
  <c r="AI13" i="6"/>
  <c r="AI15" i="6"/>
  <c r="AI5" i="6"/>
  <c r="AC6" i="6"/>
  <c r="AE7" i="6"/>
  <c r="AG8" i="6"/>
  <c r="AN3" i="6" s="1"/>
  <c r="AA9" i="6"/>
  <c r="AH4" i="6"/>
  <c r="AA5" i="6"/>
  <c r="AI9" i="6"/>
  <c r="AC10" i="6"/>
  <c r="AE11" i="6"/>
  <c r="AG12" i="6"/>
  <c r="AA13" i="6"/>
  <c r="AG14" i="6"/>
  <c r="AA15" i="6"/>
  <c r="AE5" i="6"/>
  <c r="AG6" i="6"/>
  <c r="AA7" i="6"/>
  <c r="AI7" i="6"/>
  <c r="AC8" i="6"/>
  <c r="AE9" i="6"/>
  <c r="AG10" i="6"/>
  <c r="AA11" i="6"/>
  <c r="AI11" i="6"/>
  <c r="AC12" i="6"/>
  <c r="AE13" i="6"/>
  <c r="AC14" i="6"/>
  <c r="AE15" i="6"/>
  <c r="AD4" i="6"/>
  <c r="AB4" i="6"/>
  <c r="K51" i="6" s="1"/>
  <c r="AF4" i="6"/>
  <c r="AJ4" i="6"/>
  <c r="AA4" i="6"/>
  <c r="AC4" i="6"/>
  <c r="AE4" i="6"/>
  <c r="AG4" i="6"/>
  <c r="AI4" i="6"/>
  <c r="AC5" i="6"/>
  <c r="AG5" i="6"/>
  <c r="AA6" i="6"/>
  <c r="AE6" i="6"/>
  <c r="AI6" i="6"/>
  <c r="AC7" i="6"/>
  <c r="AG7" i="6"/>
  <c r="AA8" i="6"/>
  <c r="AE8" i="6"/>
  <c r="AL3" i="6" s="1"/>
  <c r="AI8" i="6"/>
  <c r="AP3" i="6" s="1"/>
  <c r="AC9" i="6"/>
  <c r="AG9" i="6"/>
  <c r="AA10" i="6"/>
  <c r="AE10" i="6"/>
  <c r="AI10" i="6"/>
  <c r="AC11" i="6"/>
  <c r="AG11" i="6"/>
  <c r="AA12" i="6"/>
  <c r="AE12" i="6"/>
  <c r="AI12" i="6"/>
  <c r="AC13" i="6"/>
  <c r="AG13" i="6"/>
  <c r="AB14" i="6"/>
  <c r="AB13" i="6"/>
  <c r="AB12" i="6"/>
  <c r="K44" i="6" s="1"/>
  <c r="AB11" i="6"/>
  <c r="AB10" i="6"/>
  <c r="AB9" i="6"/>
  <c r="AB8" i="6"/>
  <c r="AB7" i="6"/>
  <c r="AB6" i="6"/>
  <c r="AD14" i="6"/>
  <c r="AD13" i="6"/>
  <c r="AD12" i="6"/>
  <c r="AD11" i="6"/>
  <c r="AD10" i="6"/>
  <c r="AD9" i="6"/>
  <c r="AD8" i="6"/>
  <c r="AK3" i="6" s="1"/>
  <c r="AD7" i="6"/>
  <c r="AD6" i="6"/>
  <c r="AF14" i="6"/>
  <c r="AF13" i="6"/>
  <c r="AF12" i="6"/>
  <c r="AF11" i="6"/>
  <c r="AF10" i="6"/>
  <c r="AF9" i="6"/>
  <c r="AF8" i="6"/>
  <c r="AM3" i="6" s="1"/>
  <c r="AF7" i="6"/>
  <c r="AF6" i="6"/>
  <c r="AH14" i="6"/>
  <c r="AH13" i="6"/>
  <c r="AH12" i="6"/>
  <c r="AH11" i="6"/>
  <c r="AH10" i="6"/>
  <c r="AH9" i="6"/>
  <c r="AH8" i="6"/>
  <c r="AO3" i="6" s="1"/>
  <c r="AH7" i="6"/>
  <c r="AH6" i="6"/>
  <c r="AJ14" i="6"/>
  <c r="AJ13" i="6"/>
  <c r="AJ12" i="6"/>
  <c r="AJ11" i="6"/>
  <c r="AJ10" i="6"/>
  <c r="AJ9" i="6"/>
  <c r="AJ8" i="6"/>
  <c r="AQ3" i="6" s="1"/>
  <c r="AJ7" i="6"/>
  <c r="AJ6" i="6"/>
  <c r="AB15" i="6"/>
  <c r="AD15" i="6"/>
  <c r="AF15" i="6"/>
  <c r="AH15" i="6"/>
  <c r="AJ15" i="6"/>
  <c r="J2" i="4"/>
  <c r="J3" i="4"/>
  <c r="J4" i="4"/>
  <c r="L6" i="4"/>
  <c r="F3" i="6" s="1"/>
  <c r="L61" i="4"/>
  <c r="L62" i="4"/>
  <c r="L8" i="4"/>
  <c r="L9" i="4"/>
  <c r="L10" i="4"/>
  <c r="F4" i="6" s="1"/>
  <c r="L11" i="4"/>
  <c r="L12" i="4"/>
  <c r="L13" i="4"/>
  <c r="K70" i="4"/>
  <c r="L70" i="4" s="1"/>
  <c r="K69" i="4"/>
  <c r="L69" i="4"/>
  <c r="L15" i="4"/>
  <c r="L16" i="4"/>
  <c r="L17" i="4"/>
  <c r="K21" i="4"/>
  <c r="L21" i="4" s="1"/>
  <c r="L19" i="4"/>
  <c r="F6" i="6" s="1"/>
  <c r="K78" i="4"/>
  <c r="L76" i="4"/>
  <c r="K77" i="4"/>
  <c r="L77" i="4" s="1"/>
  <c r="K85" i="4"/>
  <c r="L85" i="4" s="1"/>
  <c r="L82" i="4"/>
  <c r="K32" i="4"/>
  <c r="L32" i="4" s="1"/>
  <c r="L31" i="4"/>
  <c r="L87" i="4"/>
  <c r="L88" i="4"/>
  <c r="K92" i="4"/>
  <c r="L91" i="4"/>
  <c r="K40" i="4"/>
  <c r="K42" i="4"/>
  <c r="L42" i="4"/>
  <c r="K44" i="4"/>
  <c r="L44" i="4" s="1"/>
  <c r="L52" i="4"/>
  <c r="G32" i="6" l="1"/>
  <c r="E32" i="6"/>
  <c r="G44" i="6"/>
  <c r="E44" i="6"/>
  <c r="P22" i="6"/>
  <c r="I42" i="6"/>
  <c r="L42" i="6" s="1"/>
  <c r="I54" i="6"/>
  <c r="L54" i="6" s="1"/>
  <c r="L41" i="6"/>
  <c r="I31" i="6"/>
  <c r="L31" i="6" s="1"/>
  <c r="M48" i="6"/>
  <c r="G55" i="6"/>
  <c r="M51" i="6"/>
  <c r="I39" i="6"/>
  <c r="L39" i="6" s="1"/>
  <c r="K4" i="4"/>
  <c r="O26" i="6"/>
  <c r="O30" i="6"/>
  <c r="O28" i="6" s="1"/>
  <c r="K33" i="6"/>
  <c r="E33" i="6" s="1"/>
  <c r="K54" i="6"/>
  <c r="E54" i="6" s="1"/>
  <c r="K52" i="6"/>
  <c r="K50" i="6"/>
  <c r="K55" i="6"/>
  <c r="E55" i="6" s="1"/>
  <c r="K41" i="6"/>
  <c r="E41" i="6" s="1"/>
  <c r="K53" i="6"/>
  <c r="E53" i="6" s="1"/>
  <c r="I48" i="6"/>
  <c r="L48" i="6" s="1"/>
  <c r="G48" i="6" s="1"/>
  <c r="I37" i="6"/>
  <c r="L37" i="6" s="1"/>
  <c r="I28" i="6"/>
  <c r="L28" i="6" s="1"/>
  <c r="H28" i="6"/>
  <c r="I27" i="6"/>
  <c r="L27" i="6" s="1"/>
  <c r="H27" i="6"/>
  <c r="P55" i="6"/>
  <c r="H55" i="6"/>
  <c r="P53" i="6"/>
  <c r="H53" i="6"/>
  <c r="I40" i="6"/>
  <c r="L40" i="6" s="1"/>
  <c r="H40" i="6"/>
  <c r="I49" i="6"/>
  <c r="L49" i="6" s="1"/>
  <c r="H49" i="6"/>
  <c r="H21" i="6"/>
  <c r="P21" i="6"/>
  <c r="I50" i="6"/>
  <c r="L50" i="6" s="1"/>
  <c r="E50" i="6" s="1"/>
  <c r="H50" i="6"/>
  <c r="I19" i="6"/>
  <c r="L19" i="6" s="1"/>
  <c r="G19" i="6" s="1"/>
  <c r="H19" i="6"/>
  <c r="H54" i="6"/>
  <c r="P54" i="6"/>
  <c r="H39" i="6"/>
  <c r="H29" i="6"/>
  <c r="H36" i="6"/>
  <c r="I36" i="6"/>
  <c r="L36" i="6" s="1"/>
  <c r="I55" i="6"/>
  <c r="L55" i="6" s="1"/>
  <c r="I53" i="6"/>
  <c r="L53" i="6" s="1"/>
  <c r="P32" i="6"/>
  <c r="H32" i="6"/>
  <c r="I26" i="6"/>
  <c r="L26" i="6" s="1"/>
  <c r="H26" i="6"/>
  <c r="P33" i="6"/>
  <c r="H33" i="6"/>
  <c r="I44" i="6"/>
  <c r="L44" i="6" s="1"/>
  <c r="H44" i="6"/>
  <c r="P44" i="6"/>
  <c r="H22" i="6"/>
  <c r="H42" i="6"/>
  <c r="P42" i="6"/>
  <c r="P20" i="6"/>
  <c r="H20" i="6"/>
  <c r="I51" i="6"/>
  <c r="L51" i="6" s="1"/>
  <c r="E51" i="6" s="1"/>
  <c r="H51" i="6"/>
  <c r="I18" i="6"/>
  <c r="L18" i="6" s="1"/>
  <c r="H18" i="6"/>
  <c r="I38" i="6"/>
  <c r="L38" i="6" s="1"/>
  <c r="H38" i="6"/>
  <c r="I16" i="6"/>
  <c r="L16" i="6" s="1"/>
  <c r="H16" i="6"/>
  <c r="I47" i="6"/>
  <c r="L47" i="6" s="1"/>
  <c r="E47" i="6" s="1"/>
  <c r="H47" i="6"/>
  <c r="I14" i="6"/>
  <c r="L14" i="6" s="1"/>
  <c r="H14" i="6"/>
  <c r="P43" i="6"/>
  <c r="H43" i="6"/>
  <c r="I30" i="6"/>
  <c r="L30" i="6" s="1"/>
  <c r="H30" i="6"/>
  <c r="I17" i="6"/>
  <c r="L17" i="6" s="1"/>
  <c r="H17" i="6"/>
  <c r="I25" i="6"/>
  <c r="L25" i="6" s="1"/>
  <c r="E25" i="6" s="1"/>
  <c r="H25" i="6"/>
  <c r="I52" i="6"/>
  <c r="L52" i="6" s="1"/>
  <c r="E52" i="6" s="1"/>
  <c r="H52" i="6"/>
  <c r="H48" i="6"/>
  <c r="I15" i="6"/>
  <c r="L15" i="6" s="1"/>
  <c r="H15" i="6"/>
  <c r="H41" i="6"/>
  <c r="H37" i="6"/>
  <c r="P31" i="6"/>
  <c r="H31" i="6"/>
  <c r="K20" i="6"/>
  <c r="E20" i="6" s="1"/>
  <c r="K21" i="6"/>
  <c r="E21" i="6" s="1"/>
  <c r="K19" i="6"/>
  <c r="K17" i="6"/>
  <c r="E17" i="6" s="1"/>
  <c r="K15" i="6"/>
  <c r="K18" i="6"/>
  <c r="K22" i="6"/>
  <c r="G22" i="6" s="1"/>
  <c r="O16" i="6"/>
  <c r="M14" i="6" s="1"/>
  <c r="O27" i="6"/>
  <c r="M25" i="6" s="1"/>
  <c r="I21" i="6"/>
  <c r="L21" i="6" s="1"/>
  <c r="I43" i="6"/>
  <c r="L43" i="6" s="1"/>
  <c r="I32" i="6"/>
  <c r="L32" i="6" s="1"/>
  <c r="I33" i="6"/>
  <c r="L33" i="6" s="1"/>
  <c r="I22" i="6"/>
  <c r="L22" i="6" s="1"/>
  <c r="I20" i="6"/>
  <c r="L20" i="6" s="1"/>
  <c r="L40" i="4"/>
  <c r="L7" i="4"/>
  <c r="L92" i="4"/>
  <c r="L78" i="4"/>
  <c r="L14" i="4"/>
  <c r="F5" i="6" s="1"/>
  <c r="K39" i="4"/>
  <c r="L39" i="4" s="1"/>
  <c r="K38" i="4"/>
  <c r="L38" i="4" s="1"/>
  <c r="K91" i="4"/>
  <c r="L94" i="4"/>
  <c r="F8" i="6" s="1"/>
  <c r="K36" i="4"/>
  <c r="L36" i="4" s="1"/>
  <c r="K35" i="4"/>
  <c r="L35" i="4" s="1"/>
  <c r="K79" i="4"/>
  <c r="L79" i="4" s="1"/>
  <c r="K48" i="4"/>
  <c r="L48" i="4" s="1"/>
  <c r="K76" i="4"/>
  <c r="K31" i="4"/>
  <c r="K37" i="4"/>
  <c r="L37" i="4" s="1"/>
  <c r="K34" i="4"/>
  <c r="L34" i="4" s="1"/>
  <c r="K33" i="4"/>
  <c r="L33" i="4" s="1"/>
  <c r="K80" i="4"/>
  <c r="L80" i="4" s="1"/>
  <c r="K50" i="4"/>
  <c r="L50" i="4" s="1"/>
  <c r="K46" i="4"/>
  <c r="L46" i="4" s="1"/>
  <c r="K74" i="4"/>
  <c r="L74" i="4" s="1"/>
  <c r="K73" i="4"/>
  <c r="L73" i="4" s="1"/>
  <c r="K72" i="4"/>
  <c r="L72" i="4" s="1"/>
  <c r="K71" i="4"/>
  <c r="L71" i="4" s="1"/>
  <c r="K49" i="4"/>
  <c r="L49" i="4" s="1"/>
  <c r="K47" i="4"/>
  <c r="L47" i="4" s="1"/>
  <c r="K45" i="4"/>
  <c r="L45" i="4" s="1"/>
  <c r="K43" i="4"/>
  <c r="L43" i="4" s="1"/>
  <c r="K52" i="4"/>
  <c r="K53" i="4"/>
  <c r="L53" i="4" s="1"/>
  <c r="K54" i="4"/>
  <c r="L54" i="4" s="1"/>
  <c r="K55" i="4"/>
  <c r="L55" i="4" s="1"/>
  <c r="K82" i="4"/>
  <c r="K83" i="4"/>
  <c r="L83" i="4" s="1"/>
  <c r="K84" i="4"/>
  <c r="L84" i="4" s="1"/>
  <c r="K19" i="4"/>
  <c r="K20" i="4"/>
  <c r="L20" i="4" s="1"/>
  <c r="K27" i="4"/>
  <c r="L27" i="4" s="1"/>
  <c r="K28" i="4"/>
  <c r="K29" i="4"/>
  <c r="L29" i="4" s="1"/>
  <c r="K61" i="4"/>
  <c r="K62" i="4"/>
  <c r="K63" i="4"/>
  <c r="L63" i="4" s="1"/>
  <c r="K64" i="4"/>
  <c r="L64" i="4" s="1"/>
  <c r="K65" i="4"/>
  <c r="L65" i="4" s="1"/>
  <c r="K66" i="4"/>
  <c r="L66" i="4" s="1"/>
  <c r="K67" i="4"/>
  <c r="L67" i="4" s="1"/>
  <c r="K87" i="4"/>
  <c r="K88" i="4"/>
  <c r="K89" i="4"/>
  <c r="L89" i="4" s="1"/>
  <c r="K26" i="4"/>
  <c r="L26" i="4" s="1"/>
  <c r="K25" i="4"/>
  <c r="L25" i="4" s="1"/>
  <c r="K24" i="4"/>
  <c r="L24" i="4" s="1"/>
  <c r="K23" i="4"/>
  <c r="L23" i="4" s="1"/>
  <c r="K22" i="4"/>
  <c r="L22" i="4" s="1"/>
  <c r="K59" i="4"/>
  <c r="L59" i="4" s="1"/>
  <c r="K58" i="4"/>
  <c r="L58" i="4" s="1"/>
  <c r="K57" i="4"/>
  <c r="L57" i="4" s="1"/>
  <c r="K56" i="4"/>
  <c r="L56" i="4" s="1"/>
  <c r="E14" i="6" l="1"/>
  <c r="G17" i="6"/>
  <c r="G25" i="6"/>
  <c r="G14" i="6"/>
  <c r="G47" i="6"/>
  <c r="E19" i="6"/>
  <c r="G53" i="6"/>
  <c r="G20" i="6"/>
  <c r="E22" i="6"/>
  <c r="G33" i="6"/>
  <c r="M16" i="6"/>
  <c r="E16" i="6" s="1"/>
  <c r="M15" i="6"/>
  <c r="G15" i="6" s="1"/>
  <c r="M18" i="6"/>
  <c r="E18" i="6" s="1"/>
  <c r="G41" i="6"/>
  <c r="G54" i="6"/>
  <c r="E48" i="6"/>
  <c r="G52" i="6"/>
  <c r="G21" i="6"/>
  <c r="G51" i="6"/>
  <c r="M26" i="6"/>
  <c r="M27" i="6"/>
  <c r="M29" i="6"/>
  <c r="G50" i="6"/>
  <c r="G16" i="6"/>
  <c r="P25" i="6"/>
  <c r="P15" i="6"/>
  <c r="P52" i="6"/>
  <c r="P47" i="6"/>
  <c r="P16" i="6"/>
  <c r="P18" i="6"/>
  <c r="P51" i="6"/>
  <c r="P36" i="6"/>
  <c r="P48" i="6"/>
  <c r="P41" i="6"/>
  <c r="P14" i="6"/>
  <c r="P19" i="6"/>
  <c r="L28" i="4"/>
  <c r="F7" i="6" s="1"/>
  <c r="K31" i="6"/>
  <c r="E19" i="1"/>
  <c r="E17" i="1"/>
  <c r="E18" i="1"/>
  <c r="G18" i="6" l="1"/>
  <c r="E31" i="6"/>
  <c r="G31" i="6"/>
  <c r="E15" i="6"/>
  <c r="P17" i="6"/>
  <c r="P50" i="6"/>
  <c r="K29" i="6" l="1"/>
  <c r="K28" i="6"/>
  <c r="K26" i="6"/>
  <c r="K30" i="6"/>
  <c r="E16" i="1"/>
  <c r="E30" i="6" l="1"/>
  <c r="G30" i="6"/>
  <c r="E28" i="6"/>
  <c r="G28" i="6"/>
  <c r="E26" i="6"/>
  <c r="G26" i="6"/>
  <c r="E29" i="6"/>
  <c r="G29" i="6"/>
  <c r="P30" i="6"/>
  <c r="P28" i="6"/>
  <c r="P26" i="6"/>
  <c r="P29" i="6"/>
  <c r="O37" i="6" l="1"/>
  <c r="O41" i="6"/>
  <c r="O39" i="6" s="1"/>
  <c r="K42" i="6"/>
  <c r="K43" i="6"/>
  <c r="O38" i="6"/>
  <c r="M36" i="6" s="1"/>
  <c r="K39" i="6"/>
  <c r="K37" i="6"/>
  <c r="K40" i="6"/>
  <c r="F38" i="6"/>
  <c r="F27" i="6"/>
  <c r="E36" i="6" l="1"/>
  <c r="G36" i="6"/>
  <c r="E39" i="6"/>
  <c r="G39" i="6"/>
  <c r="G43" i="6"/>
  <c r="E43" i="6"/>
  <c r="M37" i="6"/>
  <c r="G37" i="6" s="1"/>
  <c r="M40" i="6"/>
  <c r="G40" i="6" s="1"/>
  <c r="M38" i="6"/>
  <c r="E42" i="6"/>
  <c r="G42" i="6"/>
  <c r="P40" i="6"/>
  <c r="P37" i="6"/>
  <c r="P39" i="6"/>
  <c r="K38" i="6"/>
  <c r="E38" i="6" s="1"/>
  <c r="K27" i="6"/>
  <c r="E37" i="6" l="1"/>
  <c r="E27" i="6"/>
  <c r="G27" i="6"/>
  <c r="G38" i="6"/>
  <c r="E40" i="6"/>
  <c r="F49" i="6"/>
  <c r="P27" i="6"/>
  <c r="P38" i="6"/>
  <c r="K49" i="6" l="1"/>
  <c r="G49" i="6" s="1"/>
  <c r="P49" i="6" l="1"/>
  <c r="E49" i="6"/>
</calcChain>
</file>

<file path=xl/comments1.xml><?xml version="1.0" encoding="utf-8"?>
<comments xmlns="http://schemas.openxmlformats.org/spreadsheetml/2006/main">
  <authors>
    <author>utente</author>
  </authors>
  <commentList>
    <comment ref="E4" authorId="0" shapeId="0">
      <text>
        <r>
          <rPr>
            <sz val="9"/>
            <color indexed="81"/>
            <rFont val="Tahoma"/>
            <family val="2"/>
          </rPr>
          <t>Iserire META' della profondità del green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utente</author>
  </authors>
  <commentList>
    <comment ref="E3" authorId="0" shapeId="0">
      <text>
        <r>
          <rPr>
            <sz val="9"/>
            <color indexed="81"/>
            <rFont val="Tahoma"/>
            <family val="2"/>
          </rPr>
          <t>Iserire META' della profondità del green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utente</author>
  </authors>
  <commentList>
    <comment ref="N3" authorId="0" shapeId="0">
      <text>
        <r>
          <rPr>
            <sz val="10"/>
            <color indexed="81"/>
            <rFont val="Tahoma"/>
            <family val="2"/>
          </rPr>
          <t>Questo è lo score del giocatore di riferimento che tira il driver a 200 metri, su questo si calcolano gli score dei giocatori.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" authorId="0" shapeId="0">
      <text>
        <r>
          <rPr>
            <sz val="9"/>
            <color indexed="81"/>
            <rFont val="Tahoma"/>
            <family val="2"/>
          </rPr>
          <t xml:space="preserve">1/2 profondità green.
</t>
        </r>
      </text>
    </comment>
  </commentList>
</comments>
</file>

<file path=xl/sharedStrings.xml><?xml version="1.0" encoding="utf-8"?>
<sst xmlns="http://schemas.openxmlformats.org/spreadsheetml/2006/main" count="856" uniqueCount="73">
  <si>
    <t>Scratch</t>
  </si>
  <si>
    <t>Golfers</t>
  </si>
  <si>
    <t>driver</t>
  </si>
  <si>
    <t>3 wood</t>
  </si>
  <si>
    <t>5 wood</t>
  </si>
  <si>
    <t>4 hybrid</t>
  </si>
  <si>
    <t>5 iron</t>
  </si>
  <si>
    <t>6 iron</t>
  </si>
  <si>
    <t>7 iron</t>
  </si>
  <si>
    <t>8 iron</t>
  </si>
  <si>
    <t>9 iron</t>
  </si>
  <si>
    <t>P iron</t>
  </si>
  <si>
    <t>G iron</t>
  </si>
  <si>
    <t>Sand iron</t>
  </si>
  <si>
    <t>Lob iron</t>
  </si>
  <si>
    <t>chip</t>
  </si>
  <si>
    <t>Driver</t>
  </si>
  <si>
    <t>Legno 3</t>
  </si>
  <si>
    <t>Legno 5</t>
  </si>
  <si>
    <t>Legno 7</t>
  </si>
  <si>
    <t>ferro 5</t>
  </si>
  <si>
    <t>ferro 6</t>
  </si>
  <si>
    <t>ferro 7</t>
  </si>
  <si>
    <t>ferro 8</t>
  </si>
  <si>
    <t>ferro 9</t>
  </si>
  <si>
    <t>pitch</t>
  </si>
  <si>
    <t>gap</t>
  </si>
  <si>
    <t>sand</t>
  </si>
  <si>
    <t>lob</t>
  </si>
  <si>
    <t>combinazioni</t>
  </si>
  <si>
    <t>par 4</t>
  </si>
  <si>
    <t>L</t>
  </si>
  <si>
    <t>par 5</t>
  </si>
  <si>
    <t>PAR 4</t>
  </si>
  <si>
    <t>PAR 5</t>
  </si>
  <si>
    <t>PAR 3</t>
  </si>
  <si>
    <t>Lunghezza del lato di ritorno alla buca</t>
  </si>
  <si>
    <t>Wd 3</t>
  </si>
  <si>
    <t>Wd 5</t>
  </si>
  <si>
    <t>Wd 7</t>
  </si>
  <si>
    <t>fe 5</t>
  </si>
  <si>
    <t>fe 6</t>
  </si>
  <si>
    <t>fe 7</t>
  </si>
  <si>
    <t>fe 8</t>
  </si>
  <si>
    <t>fe 9</t>
  </si>
  <si>
    <t>bunk</t>
  </si>
  <si>
    <t>BUCA</t>
  </si>
  <si>
    <t>bastoni</t>
  </si>
  <si>
    <t>PAR</t>
  </si>
  <si>
    <t>D</t>
  </si>
  <si>
    <t>2°</t>
  </si>
  <si>
    <t>3°</t>
  </si>
  <si>
    <t>mt.</t>
  </si>
  <si>
    <t>colpi</t>
  </si>
  <si>
    <t>+</t>
  </si>
  <si>
    <t>F</t>
  </si>
  <si>
    <t>Drvr</t>
  </si>
  <si>
    <t>bunker</t>
  </si>
  <si>
    <t>TOT</t>
  </si>
  <si>
    <t>tee 6</t>
  </si>
  <si>
    <t>Score di riferimento</t>
  </si>
  <si>
    <t>rif</t>
  </si>
  <si>
    <t>buca</t>
  </si>
  <si>
    <t>D 200</t>
  </si>
  <si>
    <t>1/2Prof.  green</t>
  </si>
  <si>
    <t>giocat</t>
  </si>
  <si>
    <t>mark</t>
  </si>
  <si>
    <t>CAMPO</t>
  </si>
  <si>
    <t>Machiavelli</t>
  </si>
  <si>
    <t>ref.nce player</t>
  </si>
  <si>
    <t>Alighieri</t>
  </si>
  <si>
    <t>Petrarca</t>
  </si>
  <si>
    <t>Boccaccio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</si>
</sst>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_ ;[Red]\-0\ "/>
  </numFmts>
  <fonts count="3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rgb="FFFF0000"/>
      <name val="Calibri"/>
      <family val="2"/>
    </font>
    <font>
      <b/>
      <sz val="12"/>
      <color theme="1"/>
      <name val="Calibri"/>
      <family val="2"/>
    </font>
    <font>
      <b/>
      <sz val="12"/>
      <color theme="9" tint="-0.249977111117893"/>
      <name val="Calibri"/>
      <family val="2"/>
    </font>
    <font>
      <b/>
      <sz val="12"/>
      <color rgb="FF0066FF"/>
      <name val="Calibri"/>
      <family val="2"/>
    </font>
    <font>
      <sz val="12"/>
      <color rgb="FF0066FF"/>
      <name val="Calibri"/>
      <family val="2"/>
    </font>
    <font>
      <sz val="12"/>
      <color theme="9" tint="-0.249977111117893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i/>
      <sz val="12"/>
      <color rgb="FF00B050"/>
      <name val="Calibri"/>
      <family val="2"/>
    </font>
    <font>
      <b/>
      <i/>
      <sz val="12"/>
      <color rgb="FF0066FF"/>
      <name val="Calibri"/>
      <family val="2"/>
    </font>
    <font>
      <b/>
      <sz val="12"/>
      <color rgb="FF3333FF"/>
      <name val="Calibri"/>
      <family val="2"/>
    </font>
    <font>
      <sz val="12"/>
      <color rgb="FF3333FF"/>
      <name val="Calibri"/>
      <family val="2"/>
    </font>
    <font>
      <b/>
      <i/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i/>
      <sz val="10"/>
      <color rgb="FF0070C0"/>
      <name val="Calibri"/>
      <family val="2"/>
      <scheme val="minor"/>
    </font>
    <font>
      <b/>
      <sz val="10"/>
      <color rgb="FF3366FF"/>
      <name val="Calibri"/>
      <family val="2"/>
      <scheme val="minor"/>
    </font>
    <font>
      <sz val="8"/>
      <color theme="1" tint="0.34998626667073579"/>
      <name val="Calibri"/>
      <family val="2"/>
    </font>
    <font>
      <sz val="11"/>
      <color theme="1"/>
      <name val="Calibri"/>
      <family val="2"/>
    </font>
    <font>
      <b/>
      <sz val="11"/>
      <color rgb="FF3366FF"/>
      <name val="Calibri"/>
      <family val="2"/>
      <scheme val="minor"/>
    </font>
    <font>
      <b/>
      <i/>
      <sz val="11"/>
      <color rgb="FF3366FF"/>
      <name val="Calibri"/>
      <family val="2"/>
      <scheme val="minor"/>
    </font>
    <font>
      <sz val="9"/>
      <color indexed="81"/>
      <name val="Tahoma"/>
      <family val="2"/>
    </font>
    <font>
      <sz val="10"/>
      <color indexed="81"/>
      <name val="Tahoma"/>
      <family val="2"/>
    </font>
    <font>
      <b/>
      <sz val="9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rgb="FFFF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66FF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3333FF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3333FF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/>
      <diagonal/>
    </border>
    <border>
      <left/>
      <right style="dotted">
        <color auto="1"/>
      </right>
      <top/>
      <bottom style="thin">
        <color indexed="64"/>
      </bottom>
      <diagonal/>
    </border>
    <border>
      <left/>
      <right/>
      <top style="dotted">
        <color auto="1"/>
      </top>
      <bottom style="thin">
        <color indexed="64"/>
      </bottom>
      <diagonal/>
    </border>
    <border>
      <left/>
      <right style="thin">
        <color indexed="64"/>
      </right>
      <top style="dotted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25">
    <xf numFmtId="0" fontId="0" fillId="0" borderId="0" xfId="0"/>
    <xf numFmtId="1" fontId="1" fillId="0" borderId="0" xfId="0" applyNumberFormat="1" applyFont="1" applyAlignment="1">
      <alignment horizontal="center" shrinkToFit="1"/>
    </xf>
    <xf numFmtId="0" fontId="1" fillId="0" borderId="0" xfId="0" applyFont="1" applyAlignment="1">
      <alignment horizont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shrinkToFit="1"/>
    </xf>
    <xf numFmtId="0" fontId="2" fillId="0" borderId="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" fontId="1" fillId="0" borderId="0" xfId="0" applyNumberFormat="1" applyFont="1" applyAlignment="1">
      <alignment horizontal="center" vertical="center" shrinkToFit="1"/>
    </xf>
    <xf numFmtId="1" fontId="6" fillId="0" borderId="5" xfId="0" applyNumberFormat="1" applyFont="1" applyFill="1" applyBorder="1" applyAlignment="1" applyProtection="1">
      <alignment horizontal="center" vertical="center"/>
    </xf>
    <xf numFmtId="1" fontId="6" fillId="0" borderId="6" xfId="0" applyNumberFormat="1" applyFont="1" applyFill="1" applyBorder="1" applyAlignment="1" applyProtection="1">
      <alignment horizontal="center" vertical="center"/>
    </xf>
    <xf numFmtId="1" fontId="6" fillId="0" borderId="7" xfId="0" applyNumberFormat="1" applyFont="1" applyFill="1" applyBorder="1" applyAlignment="1" applyProtection="1">
      <alignment horizontal="center" vertical="center"/>
    </xf>
    <xf numFmtId="1" fontId="5" fillId="0" borderId="6" xfId="0" applyNumberFormat="1" applyFont="1" applyFill="1" applyBorder="1" applyAlignment="1" applyProtection="1">
      <alignment horizontal="center" vertical="center"/>
    </xf>
    <xf numFmtId="1" fontId="7" fillId="0" borderId="6" xfId="0" applyNumberFormat="1" applyFont="1" applyFill="1" applyBorder="1" applyAlignment="1" applyProtection="1">
      <alignment horizontal="center" vertical="center"/>
    </xf>
    <xf numFmtId="1" fontId="6" fillId="0" borderId="8" xfId="0" applyNumberFormat="1" applyFont="1" applyFill="1" applyBorder="1" applyAlignment="1" applyProtection="1">
      <alignment horizontal="center" vertical="center"/>
    </xf>
    <xf numFmtId="1" fontId="6" fillId="0" borderId="0" xfId="0" applyNumberFormat="1" applyFont="1" applyFill="1" applyBorder="1" applyAlignment="1" applyProtection="1">
      <alignment horizontal="center" vertical="center"/>
    </xf>
    <xf numFmtId="1" fontId="6" fillId="0" borderId="9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1" fontId="8" fillId="0" borderId="0" xfId="0" applyNumberFormat="1" applyFont="1" applyFill="1" applyBorder="1" applyAlignment="1" applyProtection="1">
      <alignment horizontal="center" vertical="center"/>
    </xf>
    <xf numFmtId="1" fontId="6" fillId="0" borderId="8" xfId="0" applyNumberFormat="1" applyFont="1" applyBorder="1" applyAlignment="1" applyProtection="1">
      <alignment horizontal="center" vertical="center"/>
    </xf>
    <xf numFmtId="1" fontId="2" fillId="0" borderId="0" xfId="0" applyNumberFormat="1" applyFont="1" applyBorder="1" applyAlignment="1" applyProtection="1">
      <alignment horizontal="center" vertical="center"/>
    </xf>
    <xf numFmtId="1" fontId="8" fillId="0" borderId="0" xfId="0" applyNumberFormat="1" applyFont="1" applyBorder="1" applyAlignment="1" applyProtection="1">
      <alignment horizontal="center" vertical="center"/>
    </xf>
    <xf numFmtId="1" fontId="9" fillId="0" borderId="8" xfId="0" applyNumberFormat="1" applyFont="1" applyFill="1" applyBorder="1" applyAlignment="1" applyProtection="1">
      <alignment horizontal="center" vertical="center"/>
    </xf>
    <xf numFmtId="1" fontId="9" fillId="0" borderId="0" xfId="0" applyNumberFormat="1" applyFont="1" applyFill="1" applyBorder="1" applyAlignment="1" applyProtection="1">
      <alignment horizontal="center" vertical="center"/>
    </xf>
    <xf numFmtId="1" fontId="9" fillId="0" borderId="9" xfId="0" applyNumberFormat="1" applyFont="1" applyFill="1" applyBorder="1" applyAlignment="1" applyProtection="1">
      <alignment horizontal="center" vertical="center"/>
    </xf>
    <xf numFmtId="1" fontId="10" fillId="0" borderId="0" xfId="0" applyNumberFormat="1" applyFont="1" applyFill="1" applyBorder="1" applyAlignment="1" applyProtection="1">
      <alignment horizontal="center" vertical="center"/>
    </xf>
    <xf numFmtId="1" fontId="10" fillId="0" borderId="0" xfId="0" applyNumberFormat="1" applyFont="1" applyBorder="1" applyAlignment="1" applyProtection="1">
      <alignment horizontal="center" vertical="center"/>
    </xf>
    <xf numFmtId="1" fontId="11" fillId="0" borderId="0" xfId="0" applyNumberFormat="1" applyFont="1" applyBorder="1" applyAlignment="1" applyProtection="1">
      <alignment horizontal="center" vertical="center"/>
    </xf>
    <xf numFmtId="1" fontId="11" fillId="0" borderId="0" xfId="0" applyNumberFormat="1" applyFont="1" applyFill="1" applyBorder="1" applyAlignment="1" applyProtection="1">
      <alignment horizontal="center" vertical="center"/>
    </xf>
    <xf numFmtId="1" fontId="7" fillId="0" borderId="0" xfId="0" applyNumberFormat="1" applyFont="1" applyBorder="1" applyAlignment="1" applyProtection="1">
      <alignment horizontal="center" vertical="center"/>
    </xf>
    <xf numFmtId="0" fontId="12" fillId="0" borderId="10" xfId="0" applyFont="1" applyBorder="1" applyAlignment="1" applyProtection="1">
      <alignment horizontal="center" vertical="center"/>
    </xf>
    <xf numFmtId="0" fontId="13" fillId="0" borderId="10" xfId="0" applyFont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center" vertical="center"/>
    </xf>
    <xf numFmtId="1" fontId="7" fillId="0" borderId="13" xfId="0" applyNumberFormat="1" applyFont="1" applyFill="1" applyBorder="1" applyAlignment="1" applyProtection="1">
      <alignment horizontal="center" vertical="center"/>
    </xf>
    <xf numFmtId="1" fontId="14" fillId="0" borderId="6" xfId="0" applyNumberFormat="1" applyFont="1" applyFill="1" applyBorder="1" applyAlignment="1" applyProtection="1">
      <alignment horizontal="center" vertical="center"/>
    </xf>
    <xf numFmtId="1" fontId="5" fillId="0" borderId="14" xfId="0" applyNumberFormat="1" applyFont="1" applyFill="1" applyBorder="1" applyAlignment="1" applyProtection="1">
      <alignment horizontal="center" vertical="center"/>
    </xf>
    <xf numFmtId="1" fontId="8" fillId="0" borderId="16" xfId="0" applyNumberFormat="1" applyFont="1" applyFill="1" applyBorder="1" applyAlignment="1" applyProtection="1">
      <alignment horizontal="center" vertical="center"/>
    </xf>
    <xf numFmtId="1" fontId="15" fillId="0" borderId="0" xfId="0" applyNumberFormat="1" applyFont="1" applyFill="1" applyBorder="1" applyAlignment="1" applyProtection="1">
      <alignment horizontal="center" vertical="center"/>
    </xf>
    <xf numFmtId="1" fontId="2" fillId="0" borderId="17" xfId="0" applyNumberFormat="1" applyFont="1" applyFill="1" applyBorder="1" applyAlignment="1" applyProtection="1">
      <alignment horizontal="center" vertical="center"/>
    </xf>
    <xf numFmtId="1" fontId="8" fillId="0" borderId="16" xfId="0" applyNumberFormat="1" applyFont="1" applyBorder="1" applyAlignment="1" applyProtection="1">
      <alignment horizontal="center" vertical="center"/>
    </xf>
    <xf numFmtId="1" fontId="15" fillId="0" borderId="0" xfId="0" applyNumberFormat="1" applyFont="1" applyBorder="1" applyAlignment="1" applyProtection="1">
      <alignment horizontal="center" vertical="center"/>
    </xf>
    <xf numFmtId="1" fontId="2" fillId="0" borderId="17" xfId="0" applyNumberFormat="1" applyFont="1" applyBorder="1" applyAlignment="1" applyProtection="1">
      <alignment horizontal="center" vertical="center"/>
    </xf>
    <xf numFmtId="1" fontId="10" fillId="0" borderId="17" xfId="0" applyNumberFormat="1" applyFont="1" applyFill="1" applyBorder="1" applyAlignment="1" applyProtection="1">
      <alignment horizontal="center" vertical="center"/>
    </xf>
    <xf numFmtId="1" fontId="7" fillId="0" borderId="16" xfId="0" applyNumberFormat="1" applyFont="1" applyBorder="1" applyAlignment="1" applyProtection="1">
      <alignment horizontal="center" vertical="center"/>
    </xf>
    <xf numFmtId="1" fontId="14" fillId="0" borderId="0" xfId="0" applyNumberFormat="1" applyFont="1" applyBorder="1" applyAlignment="1" applyProtection="1">
      <alignment horizontal="center" vertical="center"/>
    </xf>
    <xf numFmtId="1" fontId="11" fillId="0" borderId="17" xfId="0" applyNumberFormat="1" applyFont="1" applyBorder="1" applyAlignment="1" applyProtection="1">
      <alignment horizontal="center" vertical="center"/>
    </xf>
    <xf numFmtId="0" fontId="16" fillId="0" borderId="18" xfId="0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 shrinkToFit="1"/>
    </xf>
    <xf numFmtId="0" fontId="10" fillId="0" borderId="0" xfId="0" applyFont="1" applyAlignment="1" applyProtection="1">
      <alignment vertical="center" shrinkToFit="1"/>
    </xf>
    <xf numFmtId="0" fontId="0" fillId="0" borderId="0" xfId="0" applyAlignment="1"/>
    <xf numFmtId="1" fontId="0" fillId="0" borderId="0" xfId="0" applyNumberFormat="1" applyFont="1" applyFill="1" applyBorder="1" applyAlignment="1" applyProtection="1">
      <alignment horizontal="center" vertical="center"/>
    </xf>
    <xf numFmtId="1" fontId="0" fillId="0" borderId="0" xfId="0" applyNumberFormat="1" applyFont="1" applyBorder="1" applyAlignment="1" applyProtection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shrinkToFit="1"/>
    </xf>
    <xf numFmtId="0" fontId="20" fillId="0" borderId="15" xfId="0" applyFont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0" fillId="5" borderId="15" xfId="0" applyFont="1" applyFill="1" applyBorder="1" applyAlignment="1">
      <alignment horizontal="center" vertical="center" shrinkToFit="1"/>
    </xf>
    <xf numFmtId="0" fontId="20" fillId="0" borderId="29" xfId="0" applyFont="1" applyBorder="1" applyAlignment="1">
      <alignment horizontal="center" vertical="center" shrinkToFit="1"/>
    </xf>
    <xf numFmtId="0" fontId="20" fillId="5" borderId="29" xfId="0" applyFont="1" applyFill="1" applyBorder="1" applyAlignment="1">
      <alignment horizontal="center" vertical="center" shrinkToFit="1"/>
    </xf>
    <xf numFmtId="0" fontId="20" fillId="3" borderId="28" xfId="0" applyFont="1" applyFill="1" applyBorder="1" applyAlignment="1">
      <alignment horizontal="center" vertical="center" shrinkToFit="1"/>
    </xf>
    <xf numFmtId="0" fontId="20" fillId="3" borderId="15" xfId="0" applyFont="1" applyFill="1" applyBorder="1" applyAlignment="1">
      <alignment horizontal="center" vertical="center" shrinkToFit="1"/>
    </xf>
    <xf numFmtId="1" fontId="20" fillId="0" borderId="0" xfId="0" applyNumberFormat="1" applyFont="1" applyFill="1" applyBorder="1" applyAlignment="1" applyProtection="1">
      <alignment horizontal="center" vertical="center"/>
    </xf>
    <xf numFmtId="0" fontId="20" fillId="3" borderId="29" xfId="0" applyFont="1" applyFill="1" applyBorder="1" applyAlignment="1">
      <alignment horizontal="center" vertical="center" shrinkToFit="1"/>
    </xf>
    <xf numFmtId="0" fontId="19" fillId="0" borderId="0" xfId="0" applyFont="1" applyBorder="1"/>
    <xf numFmtId="0" fontId="19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2" fontId="26" fillId="0" borderId="37" xfId="0" applyNumberFormat="1" applyFont="1" applyBorder="1" applyAlignment="1" applyProtection="1">
      <alignment horizontal="center" vertical="center"/>
    </xf>
    <xf numFmtId="2" fontId="26" fillId="0" borderId="38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30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ont="1"/>
    <xf numFmtId="0" fontId="0" fillId="0" borderId="0" xfId="0" applyFont="1" applyBorder="1" applyAlignment="1">
      <alignment horizontal="center" vertical="center" shrinkToFit="1"/>
    </xf>
    <xf numFmtId="0" fontId="0" fillId="0" borderId="30" xfId="0" applyFont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0" fillId="0" borderId="30" xfId="0" applyFont="1" applyBorder="1" applyAlignment="1">
      <alignment horizontal="center"/>
    </xf>
    <xf numFmtId="0" fontId="0" fillId="0" borderId="27" xfId="0" applyFont="1" applyBorder="1" applyAlignment="1">
      <alignment horizontal="center" vertical="center" shrinkToFit="1"/>
    </xf>
    <xf numFmtId="3" fontId="0" fillId="0" borderId="18" xfId="0" applyNumberFormat="1" applyFont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shrinkToFit="1"/>
    </xf>
    <xf numFmtId="3" fontId="0" fillId="0" borderId="41" xfId="0" applyNumberFormat="1" applyFont="1" applyBorder="1" applyAlignment="1">
      <alignment horizontal="center" vertical="center" shrinkToFit="1"/>
    </xf>
    <xf numFmtId="0" fontId="0" fillId="0" borderId="0" xfId="0" applyFont="1" applyAlignment="1">
      <alignment horizontal="left" vertical="center"/>
    </xf>
    <xf numFmtId="0" fontId="0" fillId="0" borderId="31" xfId="0" applyFont="1" applyBorder="1" applyAlignment="1">
      <alignment horizontal="center" vertical="center" shrinkToFit="1"/>
    </xf>
    <xf numFmtId="0" fontId="0" fillId="0" borderId="32" xfId="0" applyFont="1" applyBorder="1" applyAlignment="1">
      <alignment horizontal="center" vertical="center" shrinkToFit="1"/>
    </xf>
    <xf numFmtId="0" fontId="0" fillId="0" borderId="33" xfId="0" applyFont="1" applyBorder="1" applyAlignment="1">
      <alignment horizontal="center" vertical="center" shrinkToFit="1"/>
    </xf>
    <xf numFmtId="1" fontId="27" fillId="0" borderId="6" xfId="0" applyNumberFormat="1" applyFont="1" applyFill="1" applyBorder="1" applyAlignment="1" applyProtection="1">
      <alignment horizontal="center" vertical="center"/>
    </xf>
    <xf numFmtId="1" fontId="27" fillId="0" borderId="31" xfId="0" applyNumberFormat="1" applyFont="1" applyFill="1" applyBorder="1" applyAlignment="1" applyProtection="1">
      <alignment horizontal="center" vertical="center"/>
    </xf>
    <xf numFmtId="1" fontId="0" fillId="0" borderId="32" xfId="0" applyNumberFormat="1" applyFont="1" applyFill="1" applyBorder="1" applyAlignment="1" applyProtection="1">
      <alignment horizontal="center" vertical="center"/>
    </xf>
    <xf numFmtId="1" fontId="0" fillId="0" borderId="32" xfId="0" applyNumberFormat="1" applyFont="1" applyBorder="1" applyAlignment="1" applyProtection="1">
      <alignment horizontal="center" vertical="center"/>
    </xf>
    <xf numFmtId="1" fontId="27" fillId="0" borderId="0" xfId="0" applyNumberFormat="1" applyFont="1" applyBorder="1" applyAlignment="1" applyProtection="1">
      <alignment horizontal="center" vertical="center"/>
    </xf>
    <xf numFmtId="1" fontId="27" fillId="0" borderId="32" xfId="0" applyNumberFormat="1" applyFont="1" applyBorder="1" applyAlignment="1" applyProtection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2" fontId="26" fillId="0" borderId="18" xfId="0" applyNumberFormat="1" applyFont="1" applyBorder="1" applyAlignment="1" applyProtection="1">
      <alignment horizontal="center" vertical="center"/>
    </xf>
    <xf numFmtId="1" fontId="23" fillId="0" borderId="34" xfId="0" applyNumberFormat="1" applyFont="1" applyBorder="1" applyAlignment="1" applyProtection="1">
      <alignment horizontal="center" vertical="center"/>
    </xf>
    <xf numFmtId="1" fontId="0" fillId="0" borderId="35" xfId="0" applyNumberFormat="1" applyFont="1" applyFill="1" applyBorder="1" applyAlignment="1" applyProtection="1">
      <alignment horizontal="center" vertical="center"/>
    </xf>
    <xf numFmtId="1" fontId="0" fillId="0" borderId="35" xfId="0" applyNumberFormat="1" applyFont="1" applyBorder="1" applyAlignment="1" applyProtection="1">
      <alignment horizontal="center" vertical="center"/>
    </xf>
    <xf numFmtId="1" fontId="0" fillId="0" borderId="36" xfId="0" applyNumberFormat="1" applyFont="1" applyBorder="1" applyAlignment="1" applyProtection="1">
      <alignment horizontal="center" vertical="center"/>
    </xf>
    <xf numFmtId="1" fontId="22" fillId="0" borderId="36" xfId="0" applyNumberFormat="1" applyFont="1" applyBorder="1" applyAlignment="1" applyProtection="1">
      <alignment horizontal="center" vertical="center"/>
    </xf>
    <xf numFmtId="2" fontId="26" fillId="0" borderId="42" xfId="0" applyNumberFormat="1" applyFont="1" applyBorder="1" applyAlignment="1" applyProtection="1">
      <alignment horizontal="center" vertical="center"/>
    </xf>
    <xf numFmtId="0" fontId="29" fillId="6" borderId="49" xfId="0" applyFont="1" applyFill="1" applyBorder="1" applyAlignment="1" applyProtection="1">
      <alignment horizontal="center" vertical="center"/>
      <protection locked="0"/>
    </xf>
    <xf numFmtId="0" fontId="29" fillId="6" borderId="51" xfId="0" applyFont="1" applyFill="1" applyBorder="1" applyAlignment="1" applyProtection="1">
      <alignment horizontal="center" vertical="center"/>
      <protection locked="0"/>
    </xf>
    <xf numFmtId="0" fontId="2" fillId="6" borderId="0" xfId="0" applyFont="1" applyFill="1" applyAlignment="1" applyProtection="1">
      <alignment horizontal="center" vertical="center" shrinkToFit="1"/>
      <protection locked="0"/>
    </xf>
    <xf numFmtId="1" fontId="2" fillId="6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 shrinkToFit="1"/>
    </xf>
    <xf numFmtId="1" fontId="0" fillId="0" borderId="0" xfId="0" applyNumberFormat="1" applyFont="1" applyAlignment="1" applyProtection="1">
      <alignment horizontal="center" vertical="center" shrinkToFit="1"/>
    </xf>
    <xf numFmtId="0" fontId="19" fillId="0" borderId="0" xfId="0" applyFont="1" applyAlignment="1" applyProtection="1">
      <alignment horizontal="center" vertical="center"/>
    </xf>
    <xf numFmtId="0" fontId="19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Protection="1"/>
    <xf numFmtId="0" fontId="25" fillId="0" borderId="46" xfId="0" applyFont="1" applyBorder="1" applyAlignment="1" applyProtection="1">
      <alignment horizontal="center" vertical="center" shrinkToFit="1"/>
    </xf>
    <xf numFmtId="0" fontId="28" fillId="0" borderId="47" xfId="0" applyFont="1" applyBorder="1" applyAlignment="1" applyProtection="1">
      <alignment horizontal="center" vertical="center" shrinkToFit="1"/>
    </xf>
    <xf numFmtId="1" fontId="28" fillId="0" borderId="47" xfId="0" applyNumberFormat="1" applyFont="1" applyBorder="1" applyAlignment="1" applyProtection="1">
      <alignment horizontal="center" vertical="center" shrinkToFit="1"/>
    </xf>
    <xf numFmtId="1" fontId="25" fillId="0" borderId="48" xfId="0" applyNumberFormat="1" applyFont="1" applyBorder="1" applyAlignment="1" applyProtection="1">
      <alignment vertical="center"/>
    </xf>
    <xf numFmtId="1" fontId="28" fillId="0" borderId="0" xfId="0" applyNumberFormat="1" applyFont="1" applyBorder="1" applyAlignment="1" applyProtection="1">
      <alignment horizontal="center" vertical="center" shrinkToFit="1"/>
    </xf>
    <xf numFmtId="0" fontId="0" fillId="0" borderId="21" xfId="0" applyFont="1" applyBorder="1" applyAlignment="1" applyProtection="1">
      <alignment horizontal="center" vertical="center" shrinkToFit="1"/>
    </xf>
    <xf numFmtId="1" fontId="0" fillId="0" borderId="21" xfId="0" applyNumberFormat="1" applyFont="1" applyBorder="1" applyAlignment="1" applyProtection="1">
      <alignment horizontal="center" vertical="center" shrinkToFit="1"/>
    </xf>
    <xf numFmtId="1" fontId="0" fillId="0" borderId="22" xfId="0" applyNumberFormat="1" applyFont="1" applyBorder="1" applyAlignment="1" applyProtection="1">
      <alignment horizontal="center" vertical="center" shrinkToFit="1"/>
    </xf>
    <xf numFmtId="1" fontId="0" fillId="0" borderId="0" xfId="0" applyNumberFormat="1" applyFont="1" applyBorder="1" applyAlignment="1" applyProtection="1">
      <alignment horizontal="center" vertical="center" shrinkToFit="1"/>
    </xf>
    <xf numFmtId="1" fontId="25" fillId="0" borderId="0" xfId="0" applyNumberFormat="1" applyFont="1" applyAlignment="1" applyProtection="1">
      <alignment vertical="center"/>
    </xf>
    <xf numFmtId="0" fontId="17" fillId="0" borderId="27" xfId="0" applyFont="1" applyBorder="1" applyAlignment="1" applyProtection="1">
      <alignment horizontal="center" vertical="center" shrinkToFit="1"/>
    </xf>
    <xf numFmtId="0" fontId="17" fillId="0" borderId="10" xfId="0" applyFont="1" applyBorder="1" applyAlignment="1" applyProtection="1">
      <alignment horizontal="center" vertical="center"/>
    </xf>
    <xf numFmtId="0" fontId="17" fillId="0" borderId="18" xfId="0" applyFont="1" applyBorder="1" applyAlignment="1" applyProtection="1">
      <alignment horizontal="center" vertical="center"/>
    </xf>
    <xf numFmtId="1" fontId="20" fillId="7" borderId="10" xfId="0" applyNumberFormat="1" applyFont="1" applyFill="1" applyBorder="1" applyAlignment="1" applyProtection="1">
      <alignment horizontal="center"/>
    </xf>
    <xf numFmtId="1" fontId="20" fillId="7" borderId="18" xfId="0" applyNumberFormat="1" applyFont="1" applyFill="1" applyBorder="1" applyAlignment="1" applyProtection="1">
      <alignment horizontal="center"/>
    </xf>
    <xf numFmtId="1" fontId="0" fillId="0" borderId="0" xfId="0" applyNumberFormat="1" applyProtection="1"/>
    <xf numFmtId="0" fontId="0" fillId="0" borderId="0" xfId="0" applyFont="1" applyBorder="1" applyAlignment="1" applyProtection="1">
      <alignment horizontal="center" vertical="center" shrinkToFit="1"/>
    </xf>
    <xf numFmtId="1" fontId="0" fillId="0" borderId="24" xfId="0" applyNumberFormat="1" applyFont="1" applyBorder="1" applyAlignment="1" applyProtection="1">
      <alignment horizontal="center" vertical="center" shrinkToFit="1"/>
    </xf>
    <xf numFmtId="0" fontId="0" fillId="0" borderId="23" xfId="0" applyFont="1" applyBorder="1" applyAlignment="1" applyProtection="1">
      <alignment horizontal="center" vertical="center" shrinkToFit="1"/>
    </xf>
    <xf numFmtId="0" fontId="0" fillId="0" borderId="0" xfId="0" applyFont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shrinkToFit="1"/>
    </xf>
    <xf numFmtId="1" fontId="0" fillId="0" borderId="43" xfId="0" applyNumberFormat="1" applyFont="1" applyBorder="1" applyAlignment="1" applyProtection="1">
      <alignment horizontal="center" vertical="center" shrinkToFit="1"/>
    </xf>
    <xf numFmtId="1" fontId="0" fillId="0" borderId="44" xfId="0" applyNumberFormat="1" applyFont="1" applyBorder="1" applyAlignment="1" applyProtection="1">
      <alignment horizontal="center" vertical="center" shrinkToFit="1"/>
    </xf>
    <xf numFmtId="1" fontId="25" fillId="7" borderId="39" xfId="0" applyNumberFormat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 shrinkToFit="1"/>
    </xf>
    <xf numFmtId="1" fontId="0" fillId="0" borderId="0" xfId="0" applyNumberFormat="1" applyFont="1" applyFill="1" applyBorder="1" applyAlignment="1" applyProtection="1">
      <alignment horizontal="center" vertical="center" shrinkToFit="1"/>
    </xf>
    <xf numFmtId="0" fontId="19" fillId="7" borderId="40" xfId="0" applyFont="1" applyFill="1" applyBorder="1" applyAlignment="1" applyProtection="1">
      <alignment horizontal="center" vertical="center" shrinkToFit="1"/>
    </xf>
    <xf numFmtId="0" fontId="28" fillId="0" borderId="0" xfId="0" applyFont="1" applyAlignment="1" applyProtection="1">
      <alignment horizontal="center" vertical="center" shrinkToFit="1"/>
    </xf>
    <xf numFmtId="1" fontId="28" fillId="0" borderId="0" xfId="0" applyNumberFormat="1" applyFont="1" applyAlignment="1" applyProtection="1">
      <alignment horizontal="center" vertical="center" shrinkToFit="1"/>
    </xf>
    <xf numFmtId="0" fontId="0" fillId="0" borderId="20" xfId="0" applyFont="1" applyBorder="1" applyAlignment="1" applyProtection="1">
      <alignment horizontal="center" vertical="center" shrinkToFit="1"/>
    </xf>
    <xf numFmtId="1" fontId="19" fillId="8" borderId="19" xfId="0" applyNumberFormat="1" applyFont="1" applyFill="1" applyBorder="1" applyAlignment="1" applyProtection="1">
      <alignment horizontal="center" vertical="center"/>
    </xf>
    <xf numFmtId="0" fontId="0" fillId="0" borderId="25" xfId="0" applyFont="1" applyBorder="1" applyAlignment="1" applyProtection="1">
      <alignment horizontal="center" vertical="center" shrinkToFit="1"/>
    </xf>
    <xf numFmtId="2" fontId="20" fillId="3" borderId="19" xfId="0" applyNumberFormat="1" applyFont="1" applyFill="1" applyBorder="1" applyAlignment="1" applyProtection="1">
      <alignment horizontal="center" vertical="center"/>
    </xf>
    <xf numFmtId="0" fontId="21" fillId="0" borderId="25" xfId="0" applyFont="1" applyBorder="1" applyAlignment="1" applyProtection="1">
      <alignment horizontal="center" vertical="center" shrinkToFit="1"/>
    </xf>
    <xf numFmtId="1" fontId="24" fillId="0" borderId="0" xfId="0" applyNumberFormat="1" applyFont="1" applyBorder="1" applyAlignment="1" applyProtection="1">
      <alignment horizontal="center" vertical="center"/>
    </xf>
    <xf numFmtId="0" fontId="24" fillId="0" borderId="0" xfId="0" applyFont="1" applyBorder="1" applyAlignment="1" applyProtection="1">
      <alignment horizontal="center" vertical="center"/>
    </xf>
    <xf numFmtId="0" fontId="24" fillId="0" borderId="24" xfId="0" applyFont="1" applyBorder="1" applyAlignment="1" applyProtection="1">
      <alignment horizontal="center" vertical="center"/>
    </xf>
    <xf numFmtId="0" fontId="19" fillId="0" borderId="39" xfId="0" applyFont="1" applyBorder="1" applyAlignment="1" applyProtection="1">
      <alignment horizontal="center" vertical="center"/>
    </xf>
    <xf numFmtId="0" fontId="19" fillId="0" borderId="45" xfId="0" applyFont="1" applyBorder="1" applyAlignment="1" applyProtection="1">
      <alignment horizontal="center" vertical="center"/>
    </xf>
    <xf numFmtId="0" fontId="19" fillId="0" borderId="40" xfId="0" applyFont="1" applyBorder="1" applyAlignment="1" applyProtection="1">
      <alignment horizontal="center" vertical="center"/>
    </xf>
    <xf numFmtId="0" fontId="19" fillId="0" borderId="22" xfId="0" applyFont="1" applyBorder="1" applyProtection="1"/>
    <xf numFmtId="1" fontId="0" fillId="0" borderId="1" xfId="0" applyNumberFormat="1" applyFont="1" applyBorder="1" applyAlignment="1" applyProtection="1">
      <alignment horizontal="center" vertical="center" shrinkToFit="1"/>
    </xf>
    <xf numFmtId="0" fontId="0" fillId="0" borderId="1" xfId="0" applyFont="1" applyBorder="1" applyAlignment="1" applyProtection="1">
      <alignment horizontal="center" vertical="center" shrinkToFit="1"/>
    </xf>
    <xf numFmtId="1" fontId="0" fillId="0" borderId="26" xfId="0" applyNumberFormat="1" applyFont="1" applyBorder="1" applyAlignment="1" applyProtection="1">
      <alignment horizontal="center" vertical="center" shrinkToFit="1"/>
    </xf>
    <xf numFmtId="2" fontId="20" fillId="3" borderId="18" xfId="0" applyNumberFormat="1" applyFont="1" applyFill="1" applyBorder="1" applyAlignment="1" applyProtection="1">
      <alignment horizontal="center" vertical="center"/>
    </xf>
    <xf numFmtId="0" fontId="19" fillId="0" borderId="22" xfId="0" applyFont="1" applyBorder="1" applyAlignment="1" applyProtection="1">
      <alignment horizontal="center" vertical="center"/>
    </xf>
    <xf numFmtId="0" fontId="19" fillId="0" borderId="24" xfId="0" applyFont="1" applyBorder="1" applyAlignment="1" applyProtection="1">
      <alignment horizontal="center" vertical="center"/>
    </xf>
    <xf numFmtId="0" fontId="19" fillId="0" borderId="26" xfId="0" applyFont="1" applyBorder="1" applyAlignment="1" applyProtection="1">
      <alignment horizontal="center" vertical="center"/>
    </xf>
    <xf numFmtId="0" fontId="19" fillId="0" borderId="56" xfId="0" applyFont="1" applyBorder="1" applyAlignment="1" applyProtection="1">
      <alignment horizontal="center" vertical="center"/>
    </xf>
    <xf numFmtId="0" fontId="19" fillId="0" borderId="57" xfId="0" applyFont="1" applyBorder="1" applyAlignment="1" applyProtection="1">
      <alignment horizontal="center" vertical="center"/>
    </xf>
    <xf numFmtId="0" fontId="19" fillId="0" borderId="58" xfId="0" applyFont="1" applyBorder="1" applyAlignment="1" applyProtection="1">
      <alignment horizontal="center" vertical="center"/>
    </xf>
    <xf numFmtId="0" fontId="2" fillId="8" borderId="30" xfId="0" applyFont="1" applyFill="1" applyBorder="1" applyAlignment="1">
      <alignment horizontal="center" vertical="center" shrinkToFit="1"/>
    </xf>
    <xf numFmtId="0" fontId="20" fillId="4" borderId="19" xfId="0" applyFont="1" applyFill="1" applyBorder="1" applyAlignment="1">
      <alignment horizontal="center" vertical="center" shrinkToFit="1"/>
    </xf>
    <xf numFmtId="0" fontId="19" fillId="0" borderId="0" xfId="0" applyFont="1" applyFill="1" applyAlignment="1" applyProtection="1">
      <alignment horizontal="center" vertical="center"/>
    </xf>
    <xf numFmtId="1" fontId="28" fillId="0" borderId="0" xfId="0" applyNumberFormat="1" applyFont="1" applyFill="1" applyBorder="1" applyAlignment="1" applyProtection="1">
      <alignment horizontal="center" vertical="center" shrinkToFit="1"/>
    </xf>
    <xf numFmtId="1" fontId="25" fillId="0" borderId="0" xfId="0" applyNumberFormat="1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 shrinkToFit="1"/>
    </xf>
    <xf numFmtId="1" fontId="19" fillId="0" borderId="0" xfId="0" applyNumberFormat="1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1" fontId="0" fillId="10" borderId="19" xfId="0" applyNumberFormat="1" applyFont="1" applyFill="1" applyBorder="1" applyAlignment="1" applyProtection="1">
      <alignment horizontal="center" vertical="center" shrinkToFit="1"/>
    </xf>
    <xf numFmtId="0" fontId="0" fillId="0" borderId="60" xfId="0" applyBorder="1" applyProtection="1"/>
    <xf numFmtId="0" fontId="0" fillId="0" borderId="59" xfId="0" applyBorder="1" applyProtection="1"/>
    <xf numFmtId="0" fontId="0" fillId="0" borderId="0" xfId="0" applyFill="1" applyProtection="1"/>
    <xf numFmtId="0" fontId="32" fillId="0" borderId="0" xfId="0" applyFont="1" applyFill="1" applyBorder="1" applyAlignment="1" applyProtection="1">
      <alignment horizontal="center" vertical="center" textRotation="255" wrapText="1"/>
    </xf>
    <xf numFmtId="0" fontId="19" fillId="0" borderId="23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" fontId="0" fillId="0" borderId="0" xfId="0" applyNumberFormat="1"/>
    <xf numFmtId="164" fontId="0" fillId="0" borderId="0" xfId="0" applyNumberFormat="1" applyFont="1"/>
    <xf numFmtId="164" fontId="0" fillId="0" borderId="0" xfId="0" applyNumberFormat="1" applyFont="1" applyAlignment="1">
      <alignment horizontal="center" vertical="center"/>
    </xf>
    <xf numFmtId="164" fontId="0" fillId="2" borderId="6" xfId="0" applyNumberFormat="1" applyFont="1" applyFill="1" applyBorder="1" applyAlignment="1">
      <alignment horizontal="center" vertical="center" shrinkToFit="1"/>
    </xf>
    <xf numFmtId="164" fontId="0" fillId="0" borderId="0" xfId="0" applyNumberFormat="1" applyFont="1" applyBorder="1" applyAlignment="1">
      <alignment horizontal="center" vertical="center" shrinkToFit="1"/>
    </xf>
    <xf numFmtId="164" fontId="0" fillId="0" borderId="30" xfId="0" applyNumberFormat="1" applyFont="1" applyBorder="1" applyAlignment="1">
      <alignment horizontal="center" vertical="center" shrinkToFit="1"/>
    </xf>
    <xf numFmtId="164" fontId="0" fillId="0" borderId="6" xfId="0" applyNumberFormat="1" applyFont="1" applyBorder="1" applyAlignment="1">
      <alignment horizontal="center" vertical="center" shrinkToFit="1"/>
    </xf>
    <xf numFmtId="164" fontId="0" fillId="0" borderId="30" xfId="0" applyNumberFormat="1" applyFont="1" applyBorder="1" applyAlignment="1">
      <alignment horizontal="center" vertical="center"/>
    </xf>
    <xf numFmtId="0" fontId="0" fillId="0" borderId="62" xfId="0" applyFont="1" applyBorder="1" applyAlignment="1" applyProtection="1">
      <alignment horizontal="center" vertical="center" shrinkToFit="1"/>
    </xf>
    <xf numFmtId="1" fontId="0" fillId="0" borderId="64" xfId="0" applyNumberFormat="1" applyFont="1" applyBorder="1" applyAlignment="1" applyProtection="1">
      <alignment horizontal="center" vertical="center" shrinkToFit="1"/>
    </xf>
    <xf numFmtId="0" fontId="0" fillId="0" borderId="64" xfId="0" applyFont="1" applyBorder="1" applyAlignment="1" applyProtection="1">
      <alignment horizontal="center" vertical="center" shrinkToFit="1"/>
    </xf>
    <xf numFmtId="1" fontId="0" fillId="0" borderId="63" xfId="0" applyNumberFormat="1" applyFont="1" applyBorder="1" applyAlignment="1" applyProtection="1">
      <alignment horizontal="center" vertical="center" shrinkToFit="1"/>
    </xf>
    <xf numFmtId="0" fontId="20" fillId="0" borderId="0" xfId="0" applyFont="1" applyBorder="1" applyAlignment="1" applyProtection="1">
      <alignment horizontal="center" vertical="center" textRotation="255" shrinkToFit="1"/>
    </xf>
    <xf numFmtId="0" fontId="29" fillId="0" borderId="0" xfId="0" applyFont="1" applyFill="1" applyBorder="1" applyAlignment="1" applyProtection="1">
      <alignment horizontal="center" vertical="center"/>
    </xf>
    <xf numFmtId="1" fontId="0" fillId="0" borderId="64" xfId="0" applyNumberFormat="1" applyFont="1" applyFill="1" applyBorder="1" applyAlignment="1" applyProtection="1">
      <alignment horizontal="center" vertical="center" shrinkToFit="1"/>
    </xf>
    <xf numFmtId="0" fontId="0" fillId="0" borderId="64" xfId="0" applyFont="1" applyFill="1" applyBorder="1" applyAlignment="1" applyProtection="1">
      <alignment horizontal="center" vertical="center" shrinkToFit="1"/>
    </xf>
    <xf numFmtId="1" fontId="0" fillId="0" borderId="63" xfId="0" applyNumberFormat="1" applyFont="1" applyFill="1" applyBorder="1" applyAlignment="1" applyProtection="1">
      <alignment horizontal="center" vertical="center" shrinkToFit="1"/>
    </xf>
    <xf numFmtId="0" fontId="2" fillId="8" borderId="0" xfId="0" applyFont="1" applyFill="1" applyBorder="1" applyAlignment="1">
      <alignment horizontal="center" vertical="center" shrinkToFit="1"/>
    </xf>
    <xf numFmtId="0" fontId="20" fillId="4" borderId="39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2" fillId="0" borderId="15" xfId="0" applyFont="1" applyFill="1" applyBorder="1" applyAlignment="1" applyProtection="1">
      <alignment vertical="center" shrinkToFit="1"/>
    </xf>
    <xf numFmtId="0" fontId="2" fillId="0" borderId="0" xfId="0" applyFont="1" applyFill="1" applyBorder="1" applyAlignment="1" applyProtection="1">
      <alignment vertical="center" shrinkToFit="1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</xf>
    <xf numFmtId="0" fontId="11" fillId="0" borderId="15" xfId="0" applyFont="1" applyFill="1" applyBorder="1" applyAlignment="1" applyProtection="1">
      <alignment vertical="center" shrinkToFit="1"/>
    </xf>
    <xf numFmtId="0" fontId="11" fillId="0" borderId="0" xfId="0" applyFont="1" applyFill="1" applyBorder="1" applyAlignment="1" applyProtection="1">
      <alignment vertical="center" shrinkToFit="1"/>
    </xf>
    <xf numFmtId="0" fontId="19" fillId="8" borderId="30" xfId="0" applyFont="1" applyFill="1" applyBorder="1" applyAlignment="1">
      <alignment horizontal="center" vertical="center" shrinkToFit="1"/>
    </xf>
    <xf numFmtId="0" fontId="18" fillId="0" borderId="28" xfId="0" applyFont="1" applyFill="1" applyBorder="1" applyAlignment="1">
      <alignment horizontal="center" vertical="center" shrinkToFit="1"/>
    </xf>
    <xf numFmtId="0" fontId="18" fillId="0" borderId="6" xfId="0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horizontal="center" vertical="center" shrinkToFit="1"/>
    </xf>
    <xf numFmtId="0" fontId="19" fillId="0" borderId="21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8" borderId="0" xfId="0" applyFont="1" applyFill="1" applyBorder="1" applyAlignment="1">
      <alignment horizontal="center" vertical="center" shrinkToFit="1"/>
    </xf>
    <xf numFmtId="0" fontId="3" fillId="0" borderId="61" xfId="0" applyFont="1" applyBorder="1" applyAlignment="1" applyProtection="1">
      <alignment horizontal="center" vertical="center" textRotation="255"/>
    </xf>
    <xf numFmtId="0" fontId="20" fillId="0" borderId="53" xfId="0" applyFont="1" applyBorder="1" applyAlignment="1" applyProtection="1">
      <alignment horizontal="center" vertical="center" textRotation="255" shrinkToFit="1"/>
      <protection locked="0"/>
    </xf>
    <xf numFmtId="0" fontId="20" fillId="0" borderId="54" xfId="0" applyFont="1" applyBorder="1" applyAlignment="1" applyProtection="1">
      <alignment horizontal="center" vertical="center" textRotation="255" shrinkToFit="1"/>
      <protection locked="0"/>
    </xf>
    <xf numFmtId="0" fontId="20" fillId="0" borderId="55" xfId="0" applyFont="1" applyBorder="1" applyAlignment="1" applyProtection="1">
      <alignment horizontal="center" vertical="center" textRotation="255" shrinkToFit="1"/>
      <protection locked="0"/>
    </xf>
    <xf numFmtId="0" fontId="2" fillId="0" borderId="25" xfId="0" applyFont="1" applyBorder="1" applyAlignment="1" applyProtection="1">
      <alignment horizontal="center" vertical="center" shrinkToFit="1"/>
    </xf>
    <xf numFmtId="0" fontId="2" fillId="0" borderId="36" xfId="0" applyFont="1" applyBorder="1" applyAlignment="1" applyProtection="1">
      <alignment horizontal="center" vertical="center" shrinkToFit="1"/>
    </xf>
    <xf numFmtId="0" fontId="32" fillId="9" borderId="50" xfId="0" applyFont="1" applyFill="1" applyBorder="1" applyAlignment="1" applyProtection="1">
      <alignment horizontal="center" vertical="center" textRotation="255" wrapText="1"/>
    </xf>
    <xf numFmtId="0" fontId="32" fillId="9" borderId="52" xfId="0" applyFont="1" applyFill="1" applyBorder="1" applyAlignment="1" applyProtection="1">
      <alignment horizontal="center" vertical="center" textRotation="255" wrapText="1"/>
    </xf>
  </cellXfs>
  <cellStyles count="1">
    <cellStyle name="Normale" xfId="0" builtinId="0"/>
  </cellStyles>
  <dxfs count="5">
    <dxf>
      <font>
        <color theme="0"/>
      </font>
    </dxf>
    <dxf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 val="0"/>
        <i/>
        <color theme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FF"/>
      <color rgb="FF3366FF"/>
      <color rgb="FFB2B2B2"/>
      <color rgb="FF33CCFF"/>
      <color rgb="FF00FF00"/>
      <color rgb="FFFF66FF"/>
      <color rgb="FF339933"/>
      <color rgb="FF00CC66"/>
      <color rgb="FF3399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5</xdr:row>
      <xdr:rowOff>66675</xdr:rowOff>
    </xdr:from>
    <xdr:to>
      <xdr:col>7</xdr:col>
      <xdr:colOff>76201</xdr:colOff>
      <xdr:row>9</xdr:row>
      <xdr:rowOff>1</xdr:rowOff>
    </xdr:to>
    <xdr:sp macro="" textlink="">
      <xdr:nvSpPr>
        <xdr:cNvPr id="6" name="Figura a mano libera 5"/>
        <xdr:cNvSpPr/>
      </xdr:nvSpPr>
      <xdr:spPr>
        <a:xfrm>
          <a:off x="828675" y="1143000"/>
          <a:ext cx="962026" cy="809626"/>
        </a:xfrm>
        <a:custGeom>
          <a:avLst/>
          <a:gdLst>
            <a:gd name="connsiteX0" fmla="*/ 600076 w 1924051"/>
            <a:gd name="connsiteY0" fmla="*/ 152400 h 1362075"/>
            <a:gd name="connsiteX1" fmla="*/ 238126 w 1924051"/>
            <a:gd name="connsiteY1" fmla="*/ 152400 h 1362075"/>
            <a:gd name="connsiteX2" fmla="*/ 123826 w 1924051"/>
            <a:gd name="connsiteY2" fmla="*/ 209550 h 1362075"/>
            <a:gd name="connsiteX3" fmla="*/ 95251 w 1924051"/>
            <a:gd name="connsiteY3" fmla="*/ 219075 h 1362075"/>
            <a:gd name="connsiteX4" fmla="*/ 85726 w 1924051"/>
            <a:gd name="connsiteY4" fmla="*/ 247650 h 1362075"/>
            <a:gd name="connsiteX5" fmla="*/ 38101 w 1924051"/>
            <a:gd name="connsiteY5" fmla="*/ 333375 h 1362075"/>
            <a:gd name="connsiteX6" fmla="*/ 28576 w 1924051"/>
            <a:gd name="connsiteY6" fmla="*/ 371475 h 1362075"/>
            <a:gd name="connsiteX7" fmla="*/ 9526 w 1924051"/>
            <a:gd name="connsiteY7" fmla="*/ 428625 h 1362075"/>
            <a:gd name="connsiteX8" fmla="*/ 9526 w 1924051"/>
            <a:gd name="connsiteY8" fmla="*/ 800100 h 1362075"/>
            <a:gd name="connsiteX9" fmla="*/ 28576 w 1924051"/>
            <a:gd name="connsiteY9" fmla="*/ 876300 h 1362075"/>
            <a:gd name="connsiteX10" fmla="*/ 38101 w 1924051"/>
            <a:gd name="connsiteY10" fmla="*/ 914400 h 1362075"/>
            <a:gd name="connsiteX11" fmla="*/ 57151 w 1924051"/>
            <a:gd name="connsiteY11" fmla="*/ 1228725 h 1362075"/>
            <a:gd name="connsiteX12" fmla="*/ 66676 w 1924051"/>
            <a:gd name="connsiteY12" fmla="*/ 1295400 h 1362075"/>
            <a:gd name="connsiteX13" fmla="*/ 95251 w 1924051"/>
            <a:gd name="connsiteY13" fmla="*/ 1323975 h 1362075"/>
            <a:gd name="connsiteX14" fmla="*/ 152401 w 1924051"/>
            <a:gd name="connsiteY14" fmla="*/ 1343025 h 1362075"/>
            <a:gd name="connsiteX15" fmla="*/ 238126 w 1924051"/>
            <a:gd name="connsiteY15" fmla="*/ 1362075 h 1362075"/>
            <a:gd name="connsiteX16" fmla="*/ 295276 w 1924051"/>
            <a:gd name="connsiteY16" fmla="*/ 1352550 h 1362075"/>
            <a:gd name="connsiteX17" fmla="*/ 438151 w 1924051"/>
            <a:gd name="connsiteY17" fmla="*/ 1333500 h 1362075"/>
            <a:gd name="connsiteX18" fmla="*/ 466726 w 1924051"/>
            <a:gd name="connsiteY18" fmla="*/ 1314450 h 1362075"/>
            <a:gd name="connsiteX19" fmla="*/ 495301 w 1924051"/>
            <a:gd name="connsiteY19" fmla="*/ 1304925 h 1362075"/>
            <a:gd name="connsiteX20" fmla="*/ 552451 w 1924051"/>
            <a:gd name="connsiteY20" fmla="*/ 1266825 h 1362075"/>
            <a:gd name="connsiteX21" fmla="*/ 561976 w 1924051"/>
            <a:gd name="connsiteY21" fmla="*/ 1238250 h 1362075"/>
            <a:gd name="connsiteX22" fmla="*/ 590551 w 1924051"/>
            <a:gd name="connsiteY22" fmla="*/ 1219200 h 1362075"/>
            <a:gd name="connsiteX23" fmla="*/ 638176 w 1924051"/>
            <a:gd name="connsiteY23" fmla="*/ 1152525 h 1362075"/>
            <a:gd name="connsiteX24" fmla="*/ 723901 w 1924051"/>
            <a:gd name="connsiteY24" fmla="*/ 1104900 h 1362075"/>
            <a:gd name="connsiteX25" fmla="*/ 752476 w 1924051"/>
            <a:gd name="connsiteY25" fmla="*/ 1095375 h 1362075"/>
            <a:gd name="connsiteX26" fmla="*/ 866776 w 1924051"/>
            <a:gd name="connsiteY26" fmla="*/ 1114425 h 1362075"/>
            <a:gd name="connsiteX27" fmla="*/ 933451 w 1924051"/>
            <a:gd name="connsiteY27" fmla="*/ 1143000 h 1362075"/>
            <a:gd name="connsiteX28" fmla="*/ 990601 w 1924051"/>
            <a:gd name="connsiteY28" fmla="*/ 1162050 h 1362075"/>
            <a:gd name="connsiteX29" fmla="*/ 1019176 w 1924051"/>
            <a:gd name="connsiteY29" fmla="*/ 1181100 h 1362075"/>
            <a:gd name="connsiteX30" fmla="*/ 1047751 w 1924051"/>
            <a:gd name="connsiteY30" fmla="*/ 1190625 h 1362075"/>
            <a:gd name="connsiteX31" fmla="*/ 1143001 w 1924051"/>
            <a:gd name="connsiteY31" fmla="*/ 1209675 h 1362075"/>
            <a:gd name="connsiteX32" fmla="*/ 1200151 w 1924051"/>
            <a:gd name="connsiteY32" fmla="*/ 1200150 h 1362075"/>
            <a:gd name="connsiteX33" fmla="*/ 1257301 w 1924051"/>
            <a:gd name="connsiteY33" fmla="*/ 1152525 h 1362075"/>
            <a:gd name="connsiteX34" fmla="*/ 1276351 w 1924051"/>
            <a:gd name="connsiteY34" fmla="*/ 1123950 h 1362075"/>
            <a:gd name="connsiteX35" fmla="*/ 1295401 w 1924051"/>
            <a:gd name="connsiteY35" fmla="*/ 1085850 h 1362075"/>
            <a:gd name="connsiteX36" fmla="*/ 1323976 w 1924051"/>
            <a:gd name="connsiteY36" fmla="*/ 1076325 h 1362075"/>
            <a:gd name="connsiteX37" fmla="*/ 1476376 w 1924051"/>
            <a:gd name="connsiteY37" fmla="*/ 1085850 h 1362075"/>
            <a:gd name="connsiteX38" fmla="*/ 1543051 w 1924051"/>
            <a:gd name="connsiteY38" fmla="*/ 1104900 h 1362075"/>
            <a:gd name="connsiteX39" fmla="*/ 1581151 w 1924051"/>
            <a:gd name="connsiteY39" fmla="*/ 1114425 h 1362075"/>
            <a:gd name="connsiteX40" fmla="*/ 1628776 w 1924051"/>
            <a:gd name="connsiteY40" fmla="*/ 1104900 h 1362075"/>
            <a:gd name="connsiteX41" fmla="*/ 1657351 w 1924051"/>
            <a:gd name="connsiteY41" fmla="*/ 1085850 h 1362075"/>
            <a:gd name="connsiteX42" fmla="*/ 1733551 w 1924051"/>
            <a:gd name="connsiteY42" fmla="*/ 1057275 h 1362075"/>
            <a:gd name="connsiteX43" fmla="*/ 1771651 w 1924051"/>
            <a:gd name="connsiteY43" fmla="*/ 971550 h 1362075"/>
            <a:gd name="connsiteX44" fmla="*/ 1828801 w 1924051"/>
            <a:gd name="connsiteY44" fmla="*/ 914400 h 1362075"/>
            <a:gd name="connsiteX45" fmla="*/ 1838326 w 1924051"/>
            <a:gd name="connsiteY45" fmla="*/ 876300 h 1362075"/>
            <a:gd name="connsiteX46" fmla="*/ 1847851 w 1924051"/>
            <a:gd name="connsiteY46" fmla="*/ 847725 h 1362075"/>
            <a:gd name="connsiteX47" fmla="*/ 1857376 w 1924051"/>
            <a:gd name="connsiteY47" fmla="*/ 762000 h 1362075"/>
            <a:gd name="connsiteX48" fmla="*/ 1876426 w 1924051"/>
            <a:gd name="connsiteY48" fmla="*/ 685800 h 1362075"/>
            <a:gd name="connsiteX49" fmla="*/ 1885951 w 1924051"/>
            <a:gd name="connsiteY49" fmla="*/ 590550 h 1362075"/>
            <a:gd name="connsiteX50" fmla="*/ 1895476 w 1924051"/>
            <a:gd name="connsiteY50" fmla="*/ 561975 h 1362075"/>
            <a:gd name="connsiteX51" fmla="*/ 1905001 w 1924051"/>
            <a:gd name="connsiteY51" fmla="*/ 514350 h 1362075"/>
            <a:gd name="connsiteX52" fmla="*/ 1914526 w 1924051"/>
            <a:gd name="connsiteY52" fmla="*/ 428625 h 1362075"/>
            <a:gd name="connsiteX53" fmla="*/ 1924051 w 1924051"/>
            <a:gd name="connsiteY53" fmla="*/ 352425 h 1362075"/>
            <a:gd name="connsiteX54" fmla="*/ 1914526 w 1924051"/>
            <a:gd name="connsiteY54" fmla="*/ 171450 h 1362075"/>
            <a:gd name="connsiteX55" fmla="*/ 1885951 w 1924051"/>
            <a:gd name="connsiteY55" fmla="*/ 114300 h 1362075"/>
            <a:gd name="connsiteX56" fmla="*/ 1857376 w 1924051"/>
            <a:gd name="connsiteY56" fmla="*/ 76200 h 1362075"/>
            <a:gd name="connsiteX57" fmla="*/ 1838326 w 1924051"/>
            <a:gd name="connsiteY57" fmla="*/ 47625 h 1362075"/>
            <a:gd name="connsiteX58" fmla="*/ 1781176 w 1924051"/>
            <a:gd name="connsiteY58" fmla="*/ 28575 h 1362075"/>
            <a:gd name="connsiteX59" fmla="*/ 1647826 w 1924051"/>
            <a:gd name="connsiteY59" fmla="*/ 9525 h 1362075"/>
            <a:gd name="connsiteX60" fmla="*/ 1476376 w 1924051"/>
            <a:gd name="connsiteY60" fmla="*/ 0 h 1362075"/>
            <a:gd name="connsiteX61" fmla="*/ 962026 w 1924051"/>
            <a:gd name="connsiteY61" fmla="*/ 9525 h 1362075"/>
            <a:gd name="connsiteX62" fmla="*/ 885826 w 1924051"/>
            <a:gd name="connsiteY62" fmla="*/ 19050 h 1362075"/>
            <a:gd name="connsiteX63" fmla="*/ 800101 w 1924051"/>
            <a:gd name="connsiteY63" fmla="*/ 38100 h 1362075"/>
            <a:gd name="connsiteX64" fmla="*/ 704851 w 1924051"/>
            <a:gd name="connsiteY64" fmla="*/ 47625 h 1362075"/>
            <a:gd name="connsiteX65" fmla="*/ 676276 w 1924051"/>
            <a:gd name="connsiteY65" fmla="*/ 57150 h 1362075"/>
            <a:gd name="connsiteX66" fmla="*/ 638176 w 1924051"/>
            <a:gd name="connsiteY66" fmla="*/ 66675 h 1362075"/>
            <a:gd name="connsiteX67" fmla="*/ 581026 w 1924051"/>
            <a:gd name="connsiteY67" fmla="*/ 85725 h 1362075"/>
            <a:gd name="connsiteX68" fmla="*/ 552451 w 1924051"/>
            <a:gd name="connsiteY68" fmla="*/ 95250 h 1362075"/>
            <a:gd name="connsiteX69" fmla="*/ 495301 w 1924051"/>
            <a:gd name="connsiteY69" fmla="*/ 133350 h 1362075"/>
            <a:gd name="connsiteX70" fmla="*/ 466726 w 1924051"/>
            <a:gd name="connsiteY70" fmla="*/ 152400 h 1362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</a:cxnLst>
          <a:rect l="l" t="t" r="r" b="b"/>
          <a:pathLst>
            <a:path w="1924051" h="1362075">
              <a:moveTo>
                <a:pt x="600076" y="152400"/>
              </a:moveTo>
              <a:cubicBezTo>
                <a:pt x="458257" y="124036"/>
                <a:pt x="512992" y="131256"/>
                <a:pt x="238126" y="152400"/>
              </a:cubicBezTo>
              <a:cubicBezTo>
                <a:pt x="153915" y="158878"/>
                <a:pt x="203773" y="182901"/>
                <a:pt x="123826" y="209550"/>
              </a:cubicBezTo>
              <a:lnTo>
                <a:pt x="95251" y="219075"/>
              </a:lnTo>
              <a:cubicBezTo>
                <a:pt x="92076" y="228600"/>
                <a:pt x="90602" y="238873"/>
                <a:pt x="85726" y="247650"/>
              </a:cubicBezTo>
              <a:cubicBezTo>
                <a:pt x="45595" y="319887"/>
                <a:pt x="53315" y="280127"/>
                <a:pt x="38101" y="333375"/>
              </a:cubicBezTo>
              <a:cubicBezTo>
                <a:pt x="34505" y="345962"/>
                <a:pt x="32338" y="358936"/>
                <a:pt x="28576" y="371475"/>
              </a:cubicBezTo>
              <a:cubicBezTo>
                <a:pt x="22806" y="390709"/>
                <a:pt x="9526" y="428625"/>
                <a:pt x="9526" y="428625"/>
              </a:cubicBezTo>
              <a:cubicBezTo>
                <a:pt x="751" y="621676"/>
                <a:pt x="-6583" y="622897"/>
                <a:pt x="9526" y="800100"/>
              </a:cubicBezTo>
              <a:cubicBezTo>
                <a:pt x="13399" y="842704"/>
                <a:pt x="18658" y="841586"/>
                <a:pt x="28576" y="876300"/>
              </a:cubicBezTo>
              <a:cubicBezTo>
                <a:pt x="32172" y="888887"/>
                <a:pt x="34926" y="901700"/>
                <a:pt x="38101" y="914400"/>
              </a:cubicBezTo>
              <a:cubicBezTo>
                <a:pt x="43725" y="1032511"/>
                <a:pt x="45358" y="1116695"/>
                <a:pt x="57151" y="1228725"/>
              </a:cubicBezTo>
              <a:cubicBezTo>
                <a:pt x="59501" y="1251052"/>
                <a:pt x="58338" y="1274555"/>
                <a:pt x="66676" y="1295400"/>
              </a:cubicBezTo>
              <a:cubicBezTo>
                <a:pt x="71679" y="1307907"/>
                <a:pt x="83476" y="1317433"/>
                <a:pt x="95251" y="1323975"/>
              </a:cubicBezTo>
              <a:cubicBezTo>
                <a:pt x="112804" y="1333727"/>
                <a:pt x="132920" y="1338155"/>
                <a:pt x="152401" y="1343025"/>
              </a:cubicBezTo>
              <a:cubicBezTo>
                <a:pt x="206207" y="1356477"/>
                <a:pt x="177664" y="1349983"/>
                <a:pt x="238126" y="1362075"/>
              </a:cubicBezTo>
              <a:cubicBezTo>
                <a:pt x="257176" y="1358900"/>
                <a:pt x="276133" y="1355102"/>
                <a:pt x="295276" y="1352550"/>
              </a:cubicBezTo>
              <a:cubicBezTo>
                <a:pt x="470142" y="1329235"/>
                <a:pt x="305656" y="1355582"/>
                <a:pt x="438151" y="1333500"/>
              </a:cubicBezTo>
              <a:cubicBezTo>
                <a:pt x="447676" y="1327150"/>
                <a:pt x="456487" y="1319570"/>
                <a:pt x="466726" y="1314450"/>
              </a:cubicBezTo>
              <a:cubicBezTo>
                <a:pt x="475706" y="1309960"/>
                <a:pt x="486524" y="1309801"/>
                <a:pt x="495301" y="1304925"/>
              </a:cubicBezTo>
              <a:cubicBezTo>
                <a:pt x="515315" y="1293806"/>
                <a:pt x="552451" y="1266825"/>
                <a:pt x="552451" y="1266825"/>
              </a:cubicBezTo>
              <a:cubicBezTo>
                <a:pt x="555626" y="1257300"/>
                <a:pt x="555704" y="1246090"/>
                <a:pt x="561976" y="1238250"/>
              </a:cubicBezTo>
              <a:cubicBezTo>
                <a:pt x="569127" y="1229311"/>
                <a:pt x="584484" y="1228908"/>
                <a:pt x="590551" y="1219200"/>
              </a:cubicBezTo>
              <a:cubicBezTo>
                <a:pt x="637340" y="1144337"/>
                <a:pt x="578269" y="1172494"/>
                <a:pt x="638176" y="1152525"/>
              </a:cubicBezTo>
              <a:cubicBezTo>
                <a:pt x="680950" y="1109751"/>
                <a:pt x="653972" y="1128210"/>
                <a:pt x="723901" y="1104900"/>
              </a:cubicBezTo>
              <a:lnTo>
                <a:pt x="752476" y="1095375"/>
              </a:lnTo>
              <a:cubicBezTo>
                <a:pt x="790110" y="1100751"/>
                <a:pt x="829635" y="1105140"/>
                <a:pt x="866776" y="1114425"/>
              </a:cubicBezTo>
              <a:cubicBezTo>
                <a:pt x="907657" y="1124645"/>
                <a:pt x="888018" y="1124827"/>
                <a:pt x="933451" y="1143000"/>
              </a:cubicBezTo>
              <a:cubicBezTo>
                <a:pt x="952095" y="1150458"/>
                <a:pt x="973893" y="1150911"/>
                <a:pt x="990601" y="1162050"/>
              </a:cubicBezTo>
              <a:cubicBezTo>
                <a:pt x="1000126" y="1168400"/>
                <a:pt x="1008937" y="1175980"/>
                <a:pt x="1019176" y="1181100"/>
              </a:cubicBezTo>
              <a:cubicBezTo>
                <a:pt x="1028156" y="1185590"/>
                <a:pt x="1038097" y="1187867"/>
                <a:pt x="1047751" y="1190625"/>
              </a:cubicBezTo>
              <a:cubicBezTo>
                <a:pt x="1087536" y="1201992"/>
                <a:pt x="1098093" y="1202190"/>
                <a:pt x="1143001" y="1209675"/>
              </a:cubicBezTo>
              <a:cubicBezTo>
                <a:pt x="1162051" y="1206500"/>
                <a:pt x="1181829" y="1206257"/>
                <a:pt x="1200151" y="1200150"/>
              </a:cubicBezTo>
              <a:cubicBezTo>
                <a:pt x="1217441" y="1194387"/>
                <a:pt x="1247098" y="1164768"/>
                <a:pt x="1257301" y="1152525"/>
              </a:cubicBezTo>
              <a:cubicBezTo>
                <a:pt x="1264630" y="1143731"/>
                <a:pt x="1270671" y="1133889"/>
                <a:pt x="1276351" y="1123950"/>
              </a:cubicBezTo>
              <a:cubicBezTo>
                <a:pt x="1283396" y="1111622"/>
                <a:pt x="1285361" y="1095890"/>
                <a:pt x="1295401" y="1085850"/>
              </a:cubicBezTo>
              <a:cubicBezTo>
                <a:pt x="1302501" y="1078750"/>
                <a:pt x="1314451" y="1079500"/>
                <a:pt x="1323976" y="1076325"/>
              </a:cubicBezTo>
              <a:cubicBezTo>
                <a:pt x="1374776" y="1079500"/>
                <a:pt x="1425729" y="1080785"/>
                <a:pt x="1476376" y="1085850"/>
              </a:cubicBezTo>
              <a:cubicBezTo>
                <a:pt x="1499281" y="1088141"/>
                <a:pt x="1521181" y="1098652"/>
                <a:pt x="1543051" y="1104900"/>
              </a:cubicBezTo>
              <a:cubicBezTo>
                <a:pt x="1555638" y="1108496"/>
                <a:pt x="1568451" y="1111250"/>
                <a:pt x="1581151" y="1114425"/>
              </a:cubicBezTo>
              <a:cubicBezTo>
                <a:pt x="1597026" y="1111250"/>
                <a:pt x="1613617" y="1110584"/>
                <a:pt x="1628776" y="1104900"/>
              </a:cubicBezTo>
              <a:cubicBezTo>
                <a:pt x="1639495" y="1100880"/>
                <a:pt x="1647412" y="1091530"/>
                <a:pt x="1657351" y="1085850"/>
              </a:cubicBezTo>
              <a:cubicBezTo>
                <a:pt x="1696091" y="1063713"/>
                <a:pt x="1691881" y="1067693"/>
                <a:pt x="1733551" y="1057275"/>
              </a:cubicBezTo>
              <a:cubicBezTo>
                <a:pt x="1745630" y="1021037"/>
                <a:pt x="1747500" y="998720"/>
                <a:pt x="1771651" y="971550"/>
              </a:cubicBezTo>
              <a:cubicBezTo>
                <a:pt x="1789549" y="951414"/>
                <a:pt x="1828801" y="914400"/>
                <a:pt x="1828801" y="914400"/>
              </a:cubicBezTo>
              <a:cubicBezTo>
                <a:pt x="1831976" y="901700"/>
                <a:pt x="1834730" y="888887"/>
                <a:pt x="1838326" y="876300"/>
              </a:cubicBezTo>
              <a:cubicBezTo>
                <a:pt x="1841084" y="866646"/>
                <a:pt x="1846200" y="857629"/>
                <a:pt x="1847851" y="847725"/>
              </a:cubicBezTo>
              <a:cubicBezTo>
                <a:pt x="1852578" y="819365"/>
                <a:pt x="1852380" y="790313"/>
                <a:pt x="1857376" y="762000"/>
              </a:cubicBezTo>
              <a:cubicBezTo>
                <a:pt x="1861926" y="736217"/>
                <a:pt x="1876426" y="685800"/>
                <a:pt x="1876426" y="685800"/>
              </a:cubicBezTo>
              <a:cubicBezTo>
                <a:pt x="1879601" y="654050"/>
                <a:pt x="1881099" y="622087"/>
                <a:pt x="1885951" y="590550"/>
              </a:cubicBezTo>
              <a:cubicBezTo>
                <a:pt x="1887478" y="580627"/>
                <a:pt x="1893041" y="571715"/>
                <a:pt x="1895476" y="561975"/>
              </a:cubicBezTo>
              <a:cubicBezTo>
                <a:pt x="1899403" y="546269"/>
                <a:pt x="1902711" y="530377"/>
                <a:pt x="1905001" y="514350"/>
              </a:cubicBezTo>
              <a:cubicBezTo>
                <a:pt x="1909067" y="485888"/>
                <a:pt x="1911167" y="457179"/>
                <a:pt x="1914526" y="428625"/>
              </a:cubicBezTo>
              <a:cubicBezTo>
                <a:pt x="1917517" y="403203"/>
                <a:pt x="1920876" y="377825"/>
                <a:pt x="1924051" y="352425"/>
              </a:cubicBezTo>
              <a:cubicBezTo>
                <a:pt x="1920876" y="292100"/>
                <a:pt x="1919995" y="231610"/>
                <a:pt x="1914526" y="171450"/>
              </a:cubicBezTo>
              <a:cubicBezTo>
                <a:pt x="1912560" y="149825"/>
                <a:pt x="1897824" y="130922"/>
                <a:pt x="1885951" y="114300"/>
              </a:cubicBezTo>
              <a:cubicBezTo>
                <a:pt x="1876724" y="101382"/>
                <a:pt x="1866603" y="89118"/>
                <a:pt x="1857376" y="76200"/>
              </a:cubicBezTo>
              <a:cubicBezTo>
                <a:pt x="1850722" y="66885"/>
                <a:pt x="1848034" y="53692"/>
                <a:pt x="1838326" y="47625"/>
              </a:cubicBezTo>
              <a:cubicBezTo>
                <a:pt x="1821298" y="36982"/>
                <a:pt x="1800657" y="33445"/>
                <a:pt x="1781176" y="28575"/>
              </a:cubicBezTo>
              <a:cubicBezTo>
                <a:pt x="1719228" y="13088"/>
                <a:pt x="1738778" y="16022"/>
                <a:pt x="1647826" y="9525"/>
              </a:cubicBezTo>
              <a:cubicBezTo>
                <a:pt x="1590733" y="5447"/>
                <a:pt x="1533526" y="3175"/>
                <a:pt x="1476376" y="0"/>
              </a:cubicBezTo>
              <a:lnTo>
                <a:pt x="962026" y="9525"/>
              </a:lnTo>
              <a:cubicBezTo>
                <a:pt x="936442" y="10350"/>
                <a:pt x="911075" y="14842"/>
                <a:pt x="885826" y="19050"/>
              </a:cubicBezTo>
              <a:cubicBezTo>
                <a:pt x="795284" y="34140"/>
                <a:pt x="905993" y="23981"/>
                <a:pt x="800101" y="38100"/>
              </a:cubicBezTo>
              <a:cubicBezTo>
                <a:pt x="768473" y="42317"/>
                <a:pt x="736601" y="44450"/>
                <a:pt x="704851" y="47625"/>
              </a:cubicBezTo>
              <a:cubicBezTo>
                <a:pt x="695326" y="50800"/>
                <a:pt x="685930" y="54392"/>
                <a:pt x="676276" y="57150"/>
              </a:cubicBezTo>
              <a:cubicBezTo>
                <a:pt x="663689" y="60746"/>
                <a:pt x="650715" y="62913"/>
                <a:pt x="638176" y="66675"/>
              </a:cubicBezTo>
              <a:cubicBezTo>
                <a:pt x="618942" y="72445"/>
                <a:pt x="600076" y="79375"/>
                <a:pt x="581026" y="85725"/>
              </a:cubicBezTo>
              <a:cubicBezTo>
                <a:pt x="571501" y="88900"/>
                <a:pt x="560805" y="89681"/>
                <a:pt x="552451" y="95250"/>
              </a:cubicBezTo>
              <a:lnTo>
                <a:pt x="495301" y="133350"/>
              </a:lnTo>
              <a:lnTo>
                <a:pt x="466726" y="152400"/>
              </a:lnTo>
            </a:path>
          </a:pathLst>
        </a:cu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</xdr:col>
      <xdr:colOff>19050</xdr:colOff>
      <xdr:row>2</xdr:row>
      <xdr:rowOff>142875</xdr:rowOff>
    </xdr:from>
    <xdr:to>
      <xdr:col>41</xdr:col>
      <xdr:colOff>19050</xdr:colOff>
      <xdr:row>2</xdr:row>
      <xdr:rowOff>190500</xdr:rowOff>
    </xdr:to>
    <xdr:cxnSp macro="">
      <xdr:nvCxnSpPr>
        <xdr:cNvPr id="8" name="Connettore 2 7"/>
        <xdr:cNvCxnSpPr/>
      </xdr:nvCxnSpPr>
      <xdr:spPr>
        <a:xfrm>
          <a:off x="361950" y="581025"/>
          <a:ext cx="9144000" cy="47625"/>
        </a:xfrm>
        <a:prstGeom prst="straightConnector1">
          <a:avLst/>
        </a:prstGeom>
        <a:ln w="254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3</xdr:row>
      <xdr:rowOff>66675</xdr:rowOff>
    </xdr:from>
    <xdr:to>
      <xdr:col>40</xdr:col>
      <xdr:colOff>161926</xdr:colOff>
      <xdr:row>3</xdr:row>
      <xdr:rowOff>66675</xdr:rowOff>
    </xdr:to>
    <xdr:cxnSp macro="">
      <xdr:nvCxnSpPr>
        <xdr:cNvPr id="11" name="Connettore 2 10"/>
        <xdr:cNvCxnSpPr/>
      </xdr:nvCxnSpPr>
      <xdr:spPr>
        <a:xfrm flipH="1">
          <a:off x="628650" y="704850"/>
          <a:ext cx="8791576" cy="0"/>
        </a:xfrm>
        <a:prstGeom prst="straightConnector1">
          <a:avLst/>
        </a:prstGeom>
        <a:ln w="254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219075</xdr:colOff>
      <xdr:row>2</xdr:row>
      <xdr:rowOff>66675</xdr:rowOff>
    </xdr:from>
    <xdr:to>
      <xdr:col>13</xdr:col>
      <xdr:colOff>152400</xdr:colOff>
      <xdr:row>2</xdr:row>
      <xdr:rowOff>95250</xdr:rowOff>
    </xdr:to>
    <xdr:cxnSp macro="">
      <xdr:nvCxnSpPr>
        <xdr:cNvPr id="21" name="Connettore 2 20"/>
        <xdr:cNvCxnSpPr/>
      </xdr:nvCxnSpPr>
      <xdr:spPr>
        <a:xfrm>
          <a:off x="2619375" y="561975"/>
          <a:ext cx="619125" cy="28575"/>
        </a:xfrm>
        <a:prstGeom prst="straightConnector1">
          <a:avLst/>
        </a:prstGeom>
        <a:ln w="34925">
          <a:solidFill>
            <a:schemeClr val="accent2">
              <a:lumMod val="60000"/>
              <a:lumOff val="4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3</xdr:row>
      <xdr:rowOff>104775</xdr:rowOff>
    </xdr:from>
    <xdr:to>
      <xdr:col>24</xdr:col>
      <xdr:colOff>209550</xdr:colOff>
      <xdr:row>6</xdr:row>
      <xdr:rowOff>57150</xdr:rowOff>
    </xdr:to>
    <xdr:cxnSp macro="">
      <xdr:nvCxnSpPr>
        <xdr:cNvPr id="22" name="Connettore 2 21"/>
        <xdr:cNvCxnSpPr/>
      </xdr:nvCxnSpPr>
      <xdr:spPr>
        <a:xfrm>
          <a:off x="657225" y="742950"/>
          <a:ext cx="5153025" cy="628650"/>
        </a:xfrm>
        <a:prstGeom prst="straightConnector1">
          <a:avLst/>
        </a:prstGeom>
        <a:ln w="254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180976</xdr:colOff>
      <xdr:row>6</xdr:row>
      <xdr:rowOff>190501</xdr:rowOff>
    </xdr:from>
    <xdr:to>
      <xdr:col>42</xdr:col>
      <xdr:colOff>142875</xdr:colOff>
      <xdr:row>7</xdr:row>
      <xdr:rowOff>0</xdr:rowOff>
    </xdr:to>
    <xdr:cxnSp macro="">
      <xdr:nvCxnSpPr>
        <xdr:cNvPr id="28" name="Connettore 2 27"/>
        <xdr:cNvCxnSpPr/>
      </xdr:nvCxnSpPr>
      <xdr:spPr>
        <a:xfrm flipH="1" flipV="1">
          <a:off x="3495676" y="1504951"/>
          <a:ext cx="6362699" cy="9524"/>
        </a:xfrm>
        <a:prstGeom prst="straightConnector1">
          <a:avLst/>
        </a:prstGeom>
        <a:ln w="34925">
          <a:solidFill>
            <a:schemeClr val="accent2">
              <a:lumMod val="60000"/>
              <a:lumOff val="4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7</xdr:row>
      <xdr:rowOff>19050</xdr:rowOff>
    </xdr:from>
    <xdr:to>
      <xdr:col>37</xdr:col>
      <xdr:colOff>0</xdr:colOff>
      <xdr:row>13</xdr:row>
      <xdr:rowOff>152400</xdr:rowOff>
    </xdr:to>
    <xdr:cxnSp macro="">
      <xdr:nvCxnSpPr>
        <xdr:cNvPr id="33" name="Connettore 2 32"/>
        <xdr:cNvCxnSpPr/>
      </xdr:nvCxnSpPr>
      <xdr:spPr>
        <a:xfrm flipV="1">
          <a:off x="361950" y="1533525"/>
          <a:ext cx="8210550" cy="1447800"/>
        </a:xfrm>
        <a:prstGeom prst="straightConnector1">
          <a:avLst/>
        </a:prstGeom>
        <a:ln w="34925">
          <a:solidFill>
            <a:schemeClr val="accent2">
              <a:lumMod val="60000"/>
              <a:lumOff val="4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152400</xdr:colOff>
      <xdr:row>4</xdr:row>
      <xdr:rowOff>123825</xdr:rowOff>
    </xdr:from>
    <xdr:to>
      <xdr:col>57</xdr:col>
      <xdr:colOff>152400</xdr:colOff>
      <xdr:row>4</xdr:row>
      <xdr:rowOff>171450</xdr:rowOff>
    </xdr:to>
    <xdr:cxnSp macro="">
      <xdr:nvCxnSpPr>
        <xdr:cNvPr id="42" name="Connettore 2 41"/>
        <xdr:cNvCxnSpPr/>
      </xdr:nvCxnSpPr>
      <xdr:spPr>
        <a:xfrm>
          <a:off x="4152900" y="1000125"/>
          <a:ext cx="9144000" cy="47625"/>
        </a:xfrm>
        <a:prstGeom prst="straightConnector1">
          <a:avLst/>
        </a:prstGeom>
        <a:ln w="25400">
          <a:solidFill>
            <a:srgbClr val="FF99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200025</xdr:colOff>
      <xdr:row>4</xdr:row>
      <xdr:rowOff>190500</xdr:rowOff>
    </xdr:from>
    <xdr:to>
      <xdr:col>57</xdr:col>
      <xdr:colOff>66676</xdr:colOff>
      <xdr:row>5</xdr:row>
      <xdr:rowOff>104775</xdr:rowOff>
    </xdr:to>
    <xdr:cxnSp macro="">
      <xdr:nvCxnSpPr>
        <xdr:cNvPr id="43" name="Connettore 2 42"/>
        <xdr:cNvCxnSpPr/>
      </xdr:nvCxnSpPr>
      <xdr:spPr>
        <a:xfrm flipH="1" flipV="1">
          <a:off x="4429125" y="1066800"/>
          <a:ext cx="8782051" cy="114300"/>
        </a:xfrm>
        <a:prstGeom prst="straightConnector1">
          <a:avLst/>
        </a:prstGeom>
        <a:ln w="25400">
          <a:solidFill>
            <a:srgbClr val="FF99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19050</xdr:colOff>
      <xdr:row>4</xdr:row>
      <xdr:rowOff>190500</xdr:rowOff>
    </xdr:from>
    <xdr:to>
      <xdr:col>24</xdr:col>
      <xdr:colOff>190500</xdr:colOff>
      <xdr:row>6</xdr:row>
      <xdr:rowOff>47625</xdr:rowOff>
    </xdr:to>
    <xdr:cxnSp macro="">
      <xdr:nvCxnSpPr>
        <xdr:cNvPr id="44" name="Connettore 2 43"/>
        <xdr:cNvCxnSpPr/>
      </xdr:nvCxnSpPr>
      <xdr:spPr>
        <a:xfrm>
          <a:off x="4476750" y="1066800"/>
          <a:ext cx="1314450" cy="295275"/>
        </a:xfrm>
        <a:prstGeom prst="straightConnector1">
          <a:avLst/>
        </a:prstGeom>
        <a:ln w="34925">
          <a:solidFill>
            <a:srgbClr val="FF99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8</xdr:row>
      <xdr:rowOff>152400</xdr:rowOff>
    </xdr:from>
    <xdr:to>
      <xdr:col>40</xdr:col>
      <xdr:colOff>180975</xdr:colOff>
      <xdr:row>8</xdr:row>
      <xdr:rowOff>152400</xdr:rowOff>
    </xdr:to>
    <xdr:cxnSp macro="">
      <xdr:nvCxnSpPr>
        <xdr:cNvPr id="50" name="Connettore 2 49"/>
        <xdr:cNvCxnSpPr/>
      </xdr:nvCxnSpPr>
      <xdr:spPr>
        <a:xfrm flipH="1">
          <a:off x="314325" y="1905000"/>
          <a:ext cx="9124950" cy="0"/>
        </a:xfrm>
        <a:prstGeom prst="straightConnector1">
          <a:avLst/>
        </a:prstGeom>
        <a:ln w="25400">
          <a:solidFill>
            <a:srgbClr val="3399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14</xdr:row>
      <xdr:rowOff>161925</xdr:rowOff>
    </xdr:from>
    <xdr:to>
      <xdr:col>37</xdr:col>
      <xdr:colOff>190500</xdr:colOff>
      <xdr:row>19</xdr:row>
      <xdr:rowOff>28575</xdr:rowOff>
    </xdr:to>
    <xdr:sp macro="" textlink="">
      <xdr:nvSpPr>
        <xdr:cNvPr id="59" name="CasellaDiTesto 58"/>
        <xdr:cNvSpPr txBox="1"/>
      </xdr:nvSpPr>
      <xdr:spPr>
        <a:xfrm>
          <a:off x="2667000" y="3228975"/>
          <a:ext cx="6096000" cy="1514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Il tee GPS o il</a:t>
          </a:r>
          <a:r>
            <a:rPr lang="it-IT" sz="1100" baseline="0"/>
            <a:t> relativo segnalino vanno rispettati  giocati con il bastone più lungo in sacca dichiarato, </a:t>
          </a:r>
          <a:r>
            <a:rPr lang="it-IT" sz="1100"/>
            <a:t> l'approach GPS dovrà essere giocato con il ferro indicato sullo score.</a:t>
          </a:r>
        </a:p>
      </xdr:txBody>
    </xdr:sp>
    <xdr:clientData/>
  </xdr:twoCellAnchor>
  <xdr:twoCellAnchor>
    <xdr:from>
      <xdr:col>1</xdr:col>
      <xdr:colOff>19050</xdr:colOff>
      <xdr:row>6</xdr:row>
      <xdr:rowOff>66675</xdr:rowOff>
    </xdr:from>
    <xdr:to>
      <xdr:col>24</xdr:col>
      <xdr:colOff>180975</xdr:colOff>
      <xdr:row>8</xdr:row>
      <xdr:rowOff>123825</xdr:rowOff>
    </xdr:to>
    <xdr:cxnSp macro="">
      <xdr:nvCxnSpPr>
        <xdr:cNvPr id="64" name="Connettore 2 63"/>
        <xdr:cNvCxnSpPr/>
      </xdr:nvCxnSpPr>
      <xdr:spPr>
        <a:xfrm flipV="1">
          <a:off x="361950" y="1381125"/>
          <a:ext cx="5419725" cy="495300"/>
        </a:xfrm>
        <a:prstGeom prst="straightConnector1">
          <a:avLst/>
        </a:prstGeom>
        <a:ln w="254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116417</xdr:colOff>
      <xdr:row>1</xdr:row>
      <xdr:rowOff>105834</xdr:rowOff>
    </xdr:from>
    <xdr:to>
      <xdr:col>16</xdr:col>
      <xdr:colOff>222250</xdr:colOff>
      <xdr:row>6</xdr:row>
      <xdr:rowOff>84666</xdr:rowOff>
    </xdr:to>
    <xdr:sp macro="" textlink="">
      <xdr:nvSpPr>
        <xdr:cNvPr id="2" name="CasellaDiTesto 1"/>
        <xdr:cNvSpPr txBox="1"/>
      </xdr:nvSpPr>
      <xdr:spPr>
        <a:xfrm>
          <a:off x="3397250" y="211667"/>
          <a:ext cx="1947333" cy="9736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200"/>
            <a:t>Tutt queste tabelle sono basate sulle</a:t>
          </a:r>
          <a:r>
            <a:rPr lang="it-IT" sz="1200" baseline="0"/>
            <a:t> distanze del giocatore di riferimento dei 200 metri.</a:t>
          </a:r>
          <a:endParaRPr lang="it-IT" sz="12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47626</xdr:colOff>
      <xdr:row>12</xdr:row>
      <xdr:rowOff>76200</xdr:rowOff>
    </xdr:from>
    <xdr:to>
      <xdr:col>21</xdr:col>
      <xdr:colOff>352425</xdr:colOff>
      <xdr:row>55</xdr:row>
      <xdr:rowOff>142875</xdr:rowOff>
    </xdr:to>
    <xdr:sp macro="" textlink="">
      <xdr:nvSpPr>
        <xdr:cNvPr id="2" name="CasellaDiTesto 1"/>
        <xdr:cNvSpPr txBox="1"/>
      </xdr:nvSpPr>
      <xdr:spPr>
        <a:xfrm>
          <a:off x="4581526" y="2781300"/>
          <a:ext cx="1952624" cy="10248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200" b="0" u="none"/>
            <a:t>SCORE, spiegazioni:</a:t>
          </a:r>
        </a:p>
        <a:p>
          <a:endParaRPr lang="it-IT" sz="1200" b="0" u="none"/>
        </a:p>
        <a:p>
          <a:r>
            <a:rPr lang="it-IT" sz="1200" b="1" u="sng"/>
            <a:t>TEE 6</a:t>
          </a:r>
          <a:r>
            <a:rPr lang="it-IT" sz="1200"/>
            <a:t>: quando è necessario garantire la</a:t>
          </a:r>
          <a:r>
            <a:rPr lang="it-IT" sz="1200" baseline="0"/>
            <a:t> distanza per eseguire il 2° e/o 3° colpo, in questa colonna appaiono i metri che si deve avanzare il tee di partenza, la cui posizione verrà identificata con i cartelli del lato verso il fondo opposto al green.</a:t>
          </a:r>
        </a:p>
        <a:p>
          <a:endParaRPr lang="it-IT" sz="1200" baseline="0"/>
        </a:p>
        <a:p>
          <a:r>
            <a:rPr lang="it-IT" sz="1200" b="1" u="sng" baseline="0"/>
            <a:t>BASTONI</a:t>
          </a:r>
          <a:r>
            <a:rPr lang="it-IT" sz="1200" b="0" baseline="0"/>
            <a:t>: è OBBLIGATORIO usare SOLO quelli indicati anche quando non fossero adeguati per la distanza da fare. Il 3° colpo di un par 5 è libero. Ci si allena, giocando, a compensare il vento o le difficoltà dell'ambiente.</a:t>
          </a:r>
        </a:p>
        <a:p>
          <a:r>
            <a:rPr lang="it-IT" sz="1200" b="0" baseline="0"/>
            <a:t>Si gioca senza handicap, tutti alla pari.</a:t>
          </a:r>
        </a:p>
        <a:p>
          <a:endParaRPr lang="it-IT" sz="1200" b="0" baseline="0"/>
        </a:p>
        <a:p>
          <a:r>
            <a:rPr lang="it-IT" sz="1200" b="0" baseline="0"/>
            <a:t>Si gioca medal ma al bogey non imbucato si alza la palla e si scrive il doppio bogey sullo score.</a:t>
          </a:r>
        </a:p>
        <a:p>
          <a:endParaRPr lang="it-IT" sz="1200" b="0" baseline="0"/>
        </a:p>
        <a:p>
          <a:r>
            <a:rPr lang="it-IT" sz="1200" b="1" u="sng" baseline="0"/>
            <a:t>Palla persa o ingiocabile</a:t>
          </a:r>
          <a:r>
            <a:rPr lang="it-IT" sz="1200" b="1" u="none" baseline="0"/>
            <a:t> </a:t>
          </a:r>
          <a:r>
            <a:rPr lang="it-IT" sz="1200" b="0" baseline="0"/>
            <a:t>va piazzata alla distanza del colpo successivo, quando </a:t>
          </a:r>
          <a:r>
            <a:rPr lang="it-IT" sz="12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colpo successivo fosse il 1° putt in green, </a:t>
          </a:r>
          <a:r>
            <a:rPr lang="it-IT" sz="1200" b="0" i="0" baseline="0"/>
            <a:t>si</a:t>
          </a:r>
          <a:r>
            <a:rPr lang="it-IT" sz="1200" b="0" baseline="0"/>
            <a:t> piazza al centro del collar sul punto più lontano dalla bandiera, aggiungendo un colpo virtuale allo score. </a:t>
          </a:r>
        </a:p>
        <a:p>
          <a:r>
            <a:rPr lang="it-IT" sz="1200" b="0" i="1" baseline="0"/>
            <a:t>Il drive è finito fuori limite, si piazza alla distanza del 2° colpo, la palla del 2° colpo è introvabile, si piazza alla distanza del 3° colpo in un par 5, quando il colpo successivo fosse il 1° putt in green, </a:t>
          </a:r>
          <a:r>
            <a:rPr lang="it-IT" sz="12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piazza al centro del collar sul punto più lontano dalla bandiera.</a:t>
          </a:r>
        </a:p>
        <a:p>
          <a:endParaRPr lang="it-IT" sz="1200" b="0" i="1" baseline="0"/>
        </a:p>
        <a:p>
          <a:r>
            <a:rPr lang="it-IT" sz="1200" b="0" u="sng" baseline="0"/>
            <a:t>P</a:t>
          </a:r>
          <a:r>
            <a:rPr lang="it-IT" sz="1200" b="1" u="sng" baseline="0"/>
            <a:t>alla sbagliata</a:t>
          </a:r>
          <a:r>
            <a:rPr lang="it-IT" sz="1200" b="1" baseline="0"/>
            <a:t>, </a:t>
          </a:r>
          <a:r>
            <a:rPr lang="it-IT" sz="1200" b="0" baseline="0"/>
            <a:t>si continua a giocarla </a:t>
          </a:r>
          <a:r>
            <a:rPr lang="it-IT" sz="12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aggiungendo un colpo virtuale allo score</a:t>
          </a:r>
          <a:r>
            <a:rPr lang="it-IT" sz="1200" b="0" baseline="0"/>
            <a:t>.</a:t>
          </a:r>
        </a:p>
        <a:p>
          <a:endParaRPr lang="it-IT" sz="1200" b="1"/>
        </a:p>
      </xdr:txBody>
    </xdr:sp>
    <xdr:clientData/>
  </xdr:twoCellAnchor>
  <xdr:oneCellAnchor>
    <xdr:from>
      <xdr:col>14</xdr:col>
      <xdr:colOff>0</xdr:colOff>
      <xdr:row>0</xdr:row>
      <xdr:rowOff>76199</xdr:rowOff>
    </xdr:from>
    <xdr:ext cx="2038350" cy="2600325"/>
    <xdr:sp macro="" textlink="">
      <xdr:nvSpPr>
        <xdr:cNvPr id="3" name="CasellaDiTesto 2"/>
        <xdr:cNvSpPr txBox="1"/>
      </xdr:nvSpPr>
      <xdr:spPr>
        <a:xfrm>
          <a:off x="4457700" y="76199"/>
          <a:ext cx="2038350" cy="2600325"/>
        </a:xfrm>
        <a:prstGeom prst="rect">
          <a:avLst/>
        </a:prstGeom>
        <a:solidFill>
          <a:schemeClr val="lt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it-IT" sz="10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1° </a:t>
          </a:r>
          <a:r>
            <a:rPr lang="it-IT" sz="10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Selezionare il campo inserendo nella colonna gialla</a:t>
          </a:r>
          <a:r>
            <a:rPr lang="it-IT" sz="10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il numero della buca che hai scelto dalle tabelle.</a:t>
          </a:r>
          <a:endParaRPr lang="it-IT" sz="1000">
            <a:effectLst/>
          </a:endParaRPr>
        </a:p>
        <a:p>
          <a:r>
            <a:rPr lang="it-IT" sz="10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2° </a:t>
          </a:r>
          <a:r>
            <a:rPr lang="it-IT" sz="10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Ogni giocatore sceglie la sacca voluta: D = sacca con legni e ferrri</a:t>
          </a:r>
          <a:r>
            <a:rPr lang="it-IT" sz="10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   F =  SOLO ferri a partire dal ferro 6.</a:t>
          </a:r>
          <a:endParaRPr lang="it-IT" sz="1000">
            <a:effectLst/>
          </a:endParaRPr>
        </a:p>
        <a:p>
          <a:r>
            <a:rPr lang="it-IT" sz="1000" b="1" u="sng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3° </a:t>
          </a:r>
          <a:r>
            <a:rPr lang="it-IT" sz="10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it-IT" sz="10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Ogni giocatore sceglie la distanza che fa col bastone più lungo che ha in sacca.</a:t>
          </a:r>
          <a:endParaRPr lang="it-IT" sz="1000">
            <a:effectLst/>
          </a:endParaRPr>
        </a:p>
        <a:p>
          <a:r>
            <a:rPr lang="it-IT" sz="10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La sacca e la distanza debbono essere coerenti, altrimenti diventano rossi. Scegliere dal menù a tendina dentro le  caselle stesse. </a:t>
          </a:r>
          <a:endParaRPr lang="it-IT" sz="1000">
            <a:effectLst/>
          </a:endParaRPr>
        </a:p>
        <a:p>
          <a:r>
            <a:rPr lang="it-IT" sz="1000" b="1" u="sng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4° </a:t>
          </a:r>
          <a:r>
            <a:rPr lang="it-IT" sz="10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in colonna N, sotto alla distanza si scrive il nome del giocatore con massimo 12 caratteri.</a:t>
          </a:r>
          <a:endParaRPr lang="it-IT" sz="1000">
            <a:effectLst/>
          </a:endParaRPr>
        </a:p>
        <a:p>
          <a:endParaRPr lang="it-IT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A50"/>
  <sheetViews>
    <sheetView workbookViewId="0"/>
  </sheetViews>
  <sheetFormatPr defaultRowHeight="15.75" x14ac:dyDescent="0.25"/>
  <cols>
    <col min="1" max="1" width="5.140625" style="3" customWidth="1"/>
    <col min="2" max="82" width="3.42578125" style="3" customWidth="1"/>
    <col min="83" max="16384" width="9.140625" style="3"/>
  </cols>
  <sheetData>
    <row r="2" spans="1:79" s="2" customFormat="1" ht="18.75" x14ac:dyDescent="0.3">
      <c r="A2" s="1">
        <v>0</v>
      </c>
      <c r="B2" s="1">
        <v>5</v>
      </c>
      <c r="C2" s="1">
        <v>10</v>
      </c>
      <c r="D2" s="1">
        <v>15</v>
      </c>
      <c r="E2" s="1">
        <v>20</v>
      </c>
      <c r="F2" s="1">
        <v>25</v>
      </c>
      <c r="G2" s="1">
        <v>30</v>
      </c>
      <c r="H2" s="1">
        <v>35</v>
      </c>
      <c r="I2" s="1">
        <v>40</v>
      </c>
      <c r="J2" s="1">
        <v>45</v>
      </c>
      <c r="K2" s="1">
        <v>50</v>
      </c>
      <c r="L2" s="1">
        <v>55</v>
      </c>
      <c r="M2" s="1">
        <v>60</v>
      </c>
      <c r="N2" s="1">
        <v>65</v>
      </c>
      <c r="O2" s="1">
        <v>70</v>
      </c>
      <c r="P2" s="1">
        <v>75</v>
      </c>
      <c r="Q2" s="1">
        <v>80</v>
      </c>
      <c r="R2" s="1">
        <v>85</v>
      </c>
      <c r="S2" s="1">
        <v>90</v>
      </c>
      <c r="T2" s="1">
        <v>95</v>
      </c>
      <c r="U2" s="1">
        <v>100</v>
      </c>
      <c r="V2" s="1">
        <v>105</v>
      </c>
      <c r="W2" s="1">
        <v>110</v>
      </c>
      <c r="X2" s="1">
        <v>115</v>
      </c>
      <c r="Y2" s="1">
        <v>120</v>
      </c>
      <c r="Z2" s="1">
        <v>125</v>
      </c>
      <c r="AA2" s="1">
        <v>130</v>
      </c>
      <c r="AB2" s="1">
        <v>135</v>
      </c>
      <c r="AC2" s="1">
        <v>140</v>
      </c>
      <c r="AD2" s="1">
        <v>145</v>
      </c>
      <c r="AE2" s="1">
        <v>150</v>
      </c>
      <c r="AF2" s="1">
        <v>155</v>
      </c>
      <c r="AG2" s="1">
        <v>160</v>
      </c>
      <c r="AH2" s="1">
        <v>165</v>
      </c>
      <c r="AI2" s="1">
        <v>170</v>
      </c>
      <c r="AJ2" s="1">
        <v>175</v>
      </c>
      <c r="AK2" s="1">
        <v>180</v>
      </c>
      <c r="AL2" s="1">
        <v>185</v>
      </c>
      <c r="AM2" s="1">
        <v>190</v>
      </c>
      <c r="AN2" s="1">
        <v>195</v>
      </c>
      <c r="AO2" s="1">
        <v>200</v>
      </c>
      <c r="AP2" s="1">
        <v>205</v>
      </c>
      <c r="AQ2" s="1">
        <v>210</v>
      </c>
      <c r="AR2" s="1">
        <v>215</v>
      </c>
      <c r="AS2" s="1">
        <v>220</v>
      </c>
      <c r="AT2" s="1">
        <v>225</v>
      </c>
      <c r="AU2" s="1">
        <v>230</v>
      </c>
      <c r="AV2" s="1">
        <v>235</v>
      </c>
      <c r="AW2" s="1">
        <v>240</v>
      </c>
      <c r="AX2" s="1">
        <v>245</v>
      </c>
      <c r="AY2" s="1">
        <v>250</v>
      </c>
      <c r="AZ2" s="1">
        <v>255</v>
      </c>
      <c r="BA2" s="1">
        <v>260</v>
      </c>
      <c r="BB2" s="1">
        <v>265</v>
      </c>
      <c r="BC2" s="1">
        <v>270</v>
      </c>
      <c r="BD2" s="1">
        <v>275</v>
      </c>
      <c r="BE2" s="1">
        <v>280</v>
      </c>
      <c r="BF2" s="1">
        <v>285</v>
      </c>
      <c r="BG2" s="1">
        <v>290</v>
      </c>
      <c r="BH2" s="1">
        <v>295</v>
      </c>
      <c r="BI2" s="1">
        <v>300</v>
      </c>
      <c r="BJ2" s="1">
        <v>305</v>
      </c>
      <c r="BK2" s="1">
        <v>310</v>
      </c>
      <c r="BL2" s="1">
        <v>315</v>
      </c>
      <c r="BM2" s="1">
        <v>320</v>
      </c>
      <c r="BN2" s="1">
        <v>325</v>
      </c>
      <c r="BO2" s="1">
        <v>330</v>
      </c>
      <c r="BP2" s="1">
        <v>335</v>
      </c>
      <c r="BQ2" s="1">
        <v>340</v>
      </c>
      <c r="BR2" s="1">
        <v>345</v>
      </c>
      <c r="BS2" s="1">
        <v>350</v>
      </c>
      <c r="BT2" s="1">
        <v>355</v>
      </c>
      <c r="BU2" s="1">
        <v>360</v>
      </c>
      <c r="BV2" s="1">
        <v>365</v>
      </c>
      <c r="BW2" s="1">
        <v>370</v>
      </c>
      <c r="BX2" s="1">
        <v>375</v>
      </c>
      <c r="BY2" s="1">
        <v>380</v>
      </c>
      <c r="BZ2" s="1">
        <v>385</v>
      </c>
    </row>
    <row r="3" spans="1:79" x14ac:dyDescent="0.25">
      <c r="A3" s="3">
        <v>5</v>
      </c>
    </row>
    <row r="4" spans="1:79" ht="18.75" x14ac:dyDescent="0.3">
      <c r="A4" s="1">
        <v>10</v>
      </c>
      <c r="Q4" s="4"/>
    </row>
    <row r="5" spans="1:79" x14ac:dyDescent="0.25">
      <c r="A5" s="3">
        <v>15</v>
      </c>
    </row>
    <row r="6" spans="1:79" ht="18.75" x14ac:dyDescent="0.3">
      <c r="A6" s="1">
        <v>20</v>
      </c>
    </row>
    <row r="7" spans="1:79" x14ac:dyDescent="0.25">
      <c r="A7" s="3">
        <v>25</v>
      </c>
    </row>
    <row r="8" spans="1:79" ht="18.75" x14ac:dyDescent="0.3">
      <c r="A8" s="1">
        <v>30</v>
      </c>
    </row>
    <row r="9" spans="1:79" x14ac:dyDescent="0.25">
      <c r="A9" s="3">
        <v>35</v>
      </c>
    </row>
    <row r="10" spans="1:79" ht="18.75" x14ac:dyDescent="0.3">
      <c r="A10" s="1">
        <v>40</v>
      </c>
    </row>
    <row r="11" spans="1:79" x14ac:dyDescent="0.25">
      <c r="A11" s="3">
        <v>45</v>
      </c>
    </row>
    <row r="12" spans="1:79" ht="18.75" x14ac:dyDescent="0.3">
      <c r="A12" s="1">
        <v>50</v>
      </c>
    </row>
    <row r="13" spans="1:79" x14ac:dyDescent="0.25">
      <c r="A13" s="3">
        <v>55</v>
      </c>
    </row>
    <row r="14" spans="1:79" ht="18.75" x14ac:dyDescent="0.3">
      <c r="A14" s="1">
        <v>60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</row>
    <row r="16" spans="1:79" ht="28.5" x14ac:dyDescent="0.25">
      <c r="A16" s="7">
        <v>5</v>
      </c>
      <c r="B16" s="6">
        <v>200</v>
      </c>
      <c r="C16" s="6">
        <v>192</v>
      </c>
      <c r="D16" s="6">
        <v>43</v>
      </c>
      <c r="E16" s="199">
        <f>SUM(B16:D16)</f>
        <v>435</v>
      </c>
      <c r="F16" s="199"/>
    </row>
    <row r="17" spans="1:6" ht="28.5" x14ac:dyDescent="0.25">
      <c r="A17" s="7">
        <v>5</v>
      </c>
      <c r="B17" s="6">
        <v>200</v>
      </c>
      <c r="C17" s="6">
        <v>192</v>
      </c>
      <c r="D17" s="6">
        <v>20</v>
      </c>
      <c r="E17" s="199">
        <f>SUM(B17:D17)</f>
        <v>412</v>
      </c>
      <c r="F17" s="199"/>
    </row>
    <row r="18" spans="1:6" ht="28.5" x14ac:dyDescent="0.25">
      <c r="A18" s="3">
        <v>4</v>
      </c>
      <c r="B18" s="3">
        <v>200</v>
      </c>
      <c r="C18" s="3">
        <v>138</v>
      </c>
      <c r="E18" s="199">
        <f>SUM(B18:D18)</f>
        <v>338</v>
      </c>
      <c r="F18" s="199"/>
    </row>
    <row r="19" spans="1:6" ht="28.5" x14ac:dyDescent="0.25">
      <c r="A19" s="3">
        <v>4</v>
      </c>
      <c r="B19" s="3">
        <v>200</v>
      </c>
      <c r="C19" s="3">
        <v>91</v>
      </c>
      <c r="E19" s="199">
        <f>SUM(B19:D19)</f>
        <v>291</v>
      </c>
      <c r="F19" s="199"/>
    </row>
    <row r="21" spans="1:6" ht="18.75" x14ac:dyDescent="0.3">
      <c r="A21" s="1"/>
    </row>
    <row r="22" spans="1:6" ht="33" customHeight="1" x14ac:dyDescent="0.25"/>
    <row r="24" spans="1:6" ht="16.5" customHeight="1" x14ac:dyDescent="0.25"/>
    <row r="37" spans="1:1" ht="29.25" customHeight="1" x14ac:dyDescent="0.25"/>
    <row r="44" spans="1:1" ht="18.75" x14ac:dyDescent="0.3">
      <c r="A44" s="1"/>
    </row>
    <row r="46" spans="1:1" ht="18.75" x14ac:dyDescent="0.3">
      <c r="A46" s="1"/>
    </row>
    <row r="48" spans="1:1" ht="18.75" x14ac:dyDescent="0.3">
      <c r="A48" s="1"/>
    </row>
    <row r="50" spans="1:1" ht="18.75" x14ac:dyDescent="0.3">
      <c r="A50" s="1"/>
    </row>
  </sheetData>
  <sheetProtection algorithmName="SHA-512" hashValue="bV/eI92TbRnX7NA+l+UDPu0NtjrNrJU3Zh/Si5X/Xc/fmyWVW/X/jwByCFEjes+mbOlb/1fUd23+cjA4d8e0tg==" saltValue="O/5T3mLT2i6b8PfJ4A47rw==" spinCount="100000" sheet="1" objects="1" scenarios="1" selectLockedCells="1" selectUnlockedCells="1"/>
  <mergeCells count="4">
    <mergeCell ref="E16:F16"/>
    <mergeCell ref="E18:F18"/>
    <mergeCell ref="E17:F17"/>
    <mergeCell ref="E19:F19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"/>
  <sheetViews>
    <sheetView workbookViewId="0">
      <selection sqref="A1:E1"/>
    </sheetView>
  </sheetViews>
  <sheetFormatPr defaultRowHeight="15" x14ac:dyDescent="0.25"/>
  <cols>
    <col min="1" max="26" width="4.5703125" customWidth="1"/>
    <col min="27" max="28" width="9.140625" style="48"/>
  </cols>
  <sheetData>
    <row r="1" spans="1:28" ht="16.5" thickBot="1" x14ac:dyDescent="0.3">
      <c r="A1" s="202" t="s">
        <v>0</v>
      </c>
      <c r="B1" s="203"/>
      <c r="C1" s="203"/>
      <c r="D1" s="203"/>
      <c r="E1" s="204"/>
      <c r="F1" s="205" t="s">
        <v>1</v>
      </c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31"/>
      <c r="V1" s="206"/>
      <c r="W1" s="206"/>
      <c r="X1" s="206"/>
      <c r="Y1" s="206"/>
      <c r="Z1" s="207"/>
      <c r="AA1" s="46"/>
      <c r="AB1" s="47"/>
    </row>
    <row r="2" spans="1:28" ht="15.75" x14ac:dyDescent="0.25">
      <c r="A2" s="8">
        <v>230</v>
      </c>
      <c r="B2" s="9"/>
      <c r="C2" s="9">
        <v>220</v>
      </c>
      <c r="D2" s="9"/>
      <c r="E2" s="10">
        <v>210</v>
      </c>
      <c r="F2" s="11">
        <v>200</v>
      </c>
      <c r="G2" s="11">
        <v>195</v>
      </c>
      <c r="H2" s="11">
        <v>190</v>
      </c>
      <c r="I2" s="11">
        <v>185</v>
      </c>
      <c r="J2" s="11">
        <v>180</v>
      </c>
      <c r="K2" s="11">
        <v>175</v>
      </c>
      <c r="L2" s="11">
        <v>170</v>
      </c>
      <c r="M2" s="11">
        <v>165</v>
      </c>
      <c r="N2" s="11">
        <v>160</v>
      </c>
      <c r="O2" s="11">
        <v>155</v>
      </c>
      <c r="P2" s="12">
        <v>150</v>
      </c>
      <c r="Q2" s="12">
        <v>145</v>
      </c>
      <c r="R2" s="12">
        <v>140</v>
      </c>
      <c r="S2" s="12">
        <v>135</v>
      </c>
      <c r="T2" s="12">
        <v>130</v>
      </c>
      <c r="U2" s="12">
        <v>125</v>
      </c>
      <c r="V2" s="32">
        <v>120</v>
      </c>
      <c r="W2" s="12">
        <v>115</v>
      </c>
      <c r="X2" s="12">
        <v>110</v>
      </c>
      <c r="Y2" s="33">
        <v>105</v>
      </c>
      <c r="Z2" s="34">
        <v>100</v>
      </c>
      <c r="AA2" s="200" t="s">
        <v>2</v>
      </c>
      <c r="AB2" s="201"/>
    </row>
    <row r="3" spans="1:28" ht="15.75" x14ac:dyDescent="0.25">
      <c r="A3" s="13">
        <v>214</v>
      </c>
      <c r="B3" s="14"/>
      <c r="C3" s="14">
        <v>206</v>
      </c>
      <c r="D3" s="14"/>
      <c r="E3" s="15">
        <v>197</v>
      </c>
      <c r="F3" s="16">
        <v>193</v>
      </c>
      <c r="G3" s="16">
        <v>188</v>
      </c>
      <c r="H3" s="16">
        <v>184</v>
      </c>
      <c r="I3" s="16">
        <v>179</v>
      </c>
      <c r="J3" s="16">
        <v>174</v>
      </c>
      <c r="K3" s="16">
        <v>169</v>
      </c>
      <c r="L3" s="16">
        <v>165</v>
      </c>
      <c r="M3" s="16">
        <v>160</v>
      </c>
      <c r="N3" s="16">
        <v>155</v>
      </c>
      <c r="O3" s="16">
        <v>150</v>
      </c>
      <c r="P3" s="17">
        <v>146</v>
      </c>
      <c r="Q3" s="17">
        <v>141</v>
      </c>
      <c r="R3" s="17">
        <v>136</v>
      </c>
      <c r="S3" s="17">
        <v>131</v>
      </c>
      <c r="T3" s="17">
        <v>127</v>
      </c>
      <c r="U3" s="17">
        <v>122</v>
      </c>
      <c r="V3" s="35">
        <v>117</v>
      </c>
      <c r="W3" s="17">
        <v>112</v>
      </c>
      <c r="X3" s="17">
        <v>107</v>
      </c>
      <c r="Y3" s="36">
        <v>102</v>
      </c>
      <c r="Z3" s="37">
        <v>98</v>
      </c>
      <c r="AA3" s="200" t="s">
        <v>3</v>
      </c>
      <c r="AB3" s="201"/>
    </row>
    <row r="4" spans="1:28" ht="15.75" x14ac:dyDescent="0.25">
      <c r="A4" s="18">
        <v>194</v>
      </c>
      <c r="B4" s="14"/>
      <c r="C4" s="14">
        <v>186</v>
      </c>
      <c r="D4" s="14"/>
      <c r="E4" s="15">
        <v>178</v>
      </c>
      <c r="F4" s="19">
        <v>175</v>
      </c>
      <c r="G4" s="19">
        <v>171</v>
      </c>
      <c r="H4" s="19">
        <v>166</v>
      </c>
      <c r="I4" s="19">
        <v>162</v>
      </c>
      <c r="J4" s="19">
        <v>158</v>
      </c>
      <c r="K4" s="16">
        <v>155</v>
      </c>
      <c r="L4" s="16">
        <v>150</v>
      </c>
      <c r="M4" s="16">
        <v>146</v>
      </c>
      <c r="N4" s="19">
        <v>141</v>
      </c>
      <c r="O4" s="19">
        <v>137</v>
      </c>
      <c r="P4" s="20">
        <v>132</v>
      </c>
      <c r="Q4" s="20">
        <v>128</v>
      </c>
      <c r="R4" s="20">
        <v>124</v>
      </c>
      <c r="S4" s="20">
        <v>119</v>
      </c>
      <c r="T4" s="20">
        <v>115</v>
      </c>
      <c r="U4" s="20">
        <v>111</v>
      </c>
      <c r="V4" s="38">
        <v>106</v>
      </c>
      <c r="W4" s="20">
        <v>102</v>
      </c>
      <c r="X4" s="20">
        <v>98</v>
      </c>
      <c r="Y4" s="39">
        <v>93</v>
      </c>
      <c r="Z4" s="40">
        <v>89</v>
      </c>
      <c r="AA4" s="200" t="s">
        <v>4</v>
      </c>
      <c r="AB4" s="201"/>
    </row>
    <row r="5" spans="1:28" ht="15.75" x14ac:dyDescent="0.25">
      <c r="A5" s="18">
        <v>174</v>
      </c>
      <c r="B5" s="14"/>
      <c r="C5" s="14">
        <v>168</v>
      </c>
      <c r="D5" s="14"/>
      <c r="E5" s="15">
        <v>160</v>
      </c>
      <c r="F5" s="19">
        <v>157</v>
      </c>
      <c r="G5" s="19">
        <v>153</v>
      </c>
      <c r="H5" s="19">
        <v>150</v>
      </c>
      <c r="I5" s="19">
        <v>146</v>
      </c>
      <c r="J5" s="19">
        <v>142</v>
      </c>
      <c r="K5" s="16">
        <v>139</v>
      </c>
      <c r="L5" s="16">
        <v>135</v>
      </c>
      <c r="M5" s="16">
        <v>131</v>
      </c>
      <c r="N5" s="19">
        <v>127</v>
      </c>
      <c r="O5" s="19">
        <v>123</v>
      </c>
      <c r="P5" s="20">
        <v>119</v>
      </c>
      <c r="Q5" s="20">
        <v>115</v>
      </c>
      <c r="R5" s="20">
        <v>113</v>
      </c>
      <c r="S5" s="20">
        <v>109</v>
      </c>
      <c r="T5" s="20">
        <v>105</v>
      </c>
      <c r="U5" s="20">
        <v>100</v>
      </c>
      <c r="V5" s="38">
        <v>96</v>
      </c>
      <c r="W5" s="20">
        <v>92</v>
      </c>
      <c r="X5" s="20">
        <v>88</v>
      </c>
      <c r="Y5" s="39">
        <v>84</v>
      </c>
      <c r="Z5" s="40">
        <v>80</v>
      </c>
      <c r="AA5" s="200" t="s">
        <v>5</v>
      </c>
      <c r="AB5" s="201"/>
    </row>
    <row r="6" spans="1:28" ht="15.75" x14ac:dyDescent="0.25">
      <c r="A6" s="21">
        <v>161</v>
      </c>
      <c r="B6" s="22"/>
      <c r="C6" s="22">
        <v>151</v>
      </c>
      <c r="D6" s="22"/>
      <c r="E6" s="23">
        <v>143</v>
      </c>
      <c r="F6" s="24">
        <v>138</v>
      </c>
      <c r="G6" s="25">
        <v>133</v>
      </c>
      <c r="H6" s="25">
        <v>128</v>
      </c>
      <c r="I6" s="25">
        <v>123</v>
      </c>
      <c r="J6" s="24">
        <v>120</v>
      </c>
      <c r="K6" s="24">
        <v>117</v>
      </c>
      <c r="L6" s="24">
        <v>113</v>
      </c>
      <c r="M6" s="24">
        <v>109</v>
      </c>
      <c r="N6" s="24">
        <v>105</v>
      </c>
      <c r="O6" s="25">
        <v>102</v>
      </c>
      <c r="P6" s="20">
        <v>98</v>
      </c>
      <c r="Q6" s="20">
        <v>95</v>
      </c>
      <c r="R6" s="17">
        <v>91</v>
      </c>
      <c r="S6" s="20">
        <v>87</v>
      </c>
      <c r="T6" s="20">
        <v>82</v>
      </c>
      <c r="U6" s="20">
        <v>78</v>
      </c>
      <c r="V6" s="35">
        <v>74</v>
      </c>
      <c r="W6" s="20">
        <v>70</v>
      </c>
      <c r="X6" s="20">
        <v>66</v>
      </c>
      <c r="Y6" s="39">
        <v>62</v>
      </c>
      <c r="Z6" s="41">
        <v>58</v>
      </c>
      <c r="AA6" s="200" t="s">
        <v>6</v>
      </c>
      <c r="AB6" s="201"/>
    </row>
    <row r="7" spans="1:28" ht="15.75" x14ac:dyDescent="0.25">
      <c r="A7" s="18">
        <v>151</v>
      </c>
      <c r="B7" s="14"/>
      <c r="C7" s="14">
        <v>142</v>
      </c>
      <c r="D7" s="14"/>
      <c r="E7" s="15">
        <v>133</v>
      </c>
      <c r="F7" s="26">
        <v>129</v>
      </c>
      <c r="G7" s="26">
        <v>124</v>
      </c>
      <c r="H7" s="26">
        <v>120</v>
      </c>
      <c r="I7" s="26">
        <v>115</v>
      </c>
      <c r="J7" s="26">
        <v>113</v>
      </c>
      <c r="K7" s="27">
        <v>110</v>
      </c>
      <c r="L7" s="27">
        <v>106</v>
      </c>
      <c r="M7" s="27">
        <v>103</v>
      </c>
      <c r="N7" s="26">
        <v>99</v>
      </c>
      <c r="O7" s="26">
        <v>96</v>
      </c>
      <c r="P7" s="28">
        <v>92</v>
      </c>
      <c r="Q7" s="28">
        <v>90</v>
      </c>
      <c r="R7" s="28">
        <v>86</v>
      </c>
      <c r="S7" s="28">
        <v>82</v>
      </c>
      <c r="T7" s="28">
        <v>78</v>
      </c>
      <c r="U7" s="28">
        <v>74</v>
      </c>
      <c r="V7" s="42">
        <v>70</v>
      </c>
      <c r="W7" s="28">
        <v>66</v>
      </c>
      <c r="X7" s="28">
        <v>62</v>
      </c>
      <c r="Y7" s="43">
        <v>58</v>
      </c>
      <c r="Z7" s="44">
        <v>54</v>
      </c>
      <c r="AA7" s="208" t="s">
        <v>7</v>
      </c>
      <c r="AB7" s="209"/>
    </row>
    <row r="8" spans="1:28" ht="15.75" x14ac:dyDescent="0.25">
      <c r="A8" s="13">
        <v>141</v>
      </c>
      <c r="B8" s="14"/>
      <c r="C8" s="14">
        <v>132</v>
      </c>
      <c r="D8" s="14"/>
      <c r="E8" s="15">
        <v>126</v>
      </c>
      <c r="F8" s="16">
        <v>121</v>
      </c>
      <c r="G8" s="19">
        <v>117</v>
      </c>
      <c r="H8" s="19">
        <v>112</v>
      </c>
      <c r="I8" s="19">
        <v>108</v>
      </c>
      <c r="J8" s="16">
        <v>106</v>
      </c>
      <c r="K8" s="16">
        <v>102</v>
      </c>
      <c r="L8" s="16">
        <v>99</v>
      </c>
      <c r="M8" s="16">
        <v>96</v>
      </c>
      <c r="N8" s="16">
        <v>93</v>
      </c>
      <c r="O8" s="19">
        <v>89</v>
      </c>
      <c r="P8" s="20">
        <v>86</v>
      </c>
      <c r="Q8" s="20">
        <v>83</v>
      </c>
      <c r="R8" s="17">
        <v>80</v>
      </c>
      <c r="S8" s="20">
        <v>76</v>
      </c>
      <c r="T8" s="20">
        <v>72</v>
      </c>
      <c r="U8" s="20">
        <v>69</v>
      </c>
      <c r="V8" s="35">
        <v>65</v>
      </c>
      <c r="W8" s="20">
        <v>61</v>
      </c>
      <c r="X8" s="20">
        <v>58</v>
      </c>
      <c r="Y8" s="39">
        <v>54</v>
      </c>
      <c r="Z8" s="37">
        <v>51</v>
      </c>
      <c r="AA8" s="200" t="s">
        <v>8</v>
      </c>
      <c r="AB8" s="201"/>
    </row>
    <row r="9" spans="1:28" ht="15.75" x14ac:dyDescent="0.25">
      <c r="A9" s="18">
        <v>131</v>
      </c>
      <c r="B9" s="14"/>
      <c r="C9" s="14">
        <v>123</v>
      </c>
      <c r="D9" s="14"/>
      <c r="E9" s="15">
        <v>116</v>
      </c>
      <c r="F9" s="19">
        <v>112</v>
      </c>
      <c r="G9" s="19">
        <v>108</v>
      </c>
      <c r="H9" s="19">
        <v>104</v>
      </c>
      <c r="I9" s="19">
        <v>100</v>
      </c>
      <c r="J9" s="19">
        <v>99</v>
      </c>
      <c r="K9" s="16">
        <v>96</v>
      </c>
      <c r="L9" s="16">
        <v>93</v>
      </c>
      <c r="M9" s="16">
        <v>89</v>
      </c>
      <c r="N9" s="19">
        <v>86</v>
      </c>
      <c r="O9" s="19">
        <v>83</v>
      </c>
      <c r="P9" s="20">
        <v>80</v>
      </c>
      <c r="Q9" s="20">
        <v>79</v>
      </c>
      <c r="R9" s="20">
        <v>75</v>
      </c>
      <c r="S9" s="20">
        <v>72</v>
      </c>
      <c r="T9" s="20">
        <v>68</v>
      </c>
      <c r="U9" s="20">
        <v>65</v>
      </c>
      <c r="V9" s="38">
        <v>61</v>
      </c>
      <c r="W9" s="20">
        <v>58</v>
      </c>
      <c r="X9" s="20">
        <v>54</v>
      </c>
      <c r="Y9" s="39">
        <v>51</v>
      </c>
      <c r="Z9" s="40">
        <v>47</v>
      </c>
      <c r="AA9" s="200" t="s">
        <v>9</v>
      </c>
      <c r="AB9" s="201"/>
    </row>
    <row r="10" spans="1:28" ht="15.75" x14ac:dyDescent="0.25">
      <c r="A10" s="18">
        <v>116</v>
      </c>
      <c r="B10" s="14"/>
      <c r="C10" s="14">
        <v>109</v>
      </c>
      <c r="D10" s="14"/>
      <c r="E10" s="15">
        <v>104</v>
      </c>
      <c r="F10" s="19">
        <v>100</v>
      </c>
      <c r="G10" s="19">
        <v>97</v>
      </c>
      <c r="H10" s="19">
        <v>93</v>
      </c>
      <c r="I10" s="19">
        <v>89</v>
      </c>
      <c r="J10" s="19">
        <v>88</v>
      </c>
      <c r="K10" s="16">
        <v>85</v>
      </c>
      <c r="L10" s="16">
        <v>82</v>
      </c>
      <c r="M10" s="16">
        <v>80</v>
      </c>
      <c r="N10" s="19">
        <v>77</v>
      </c>
      <c r="O10" s="19">
        <v>74</v>
      </c>
      <c r="P10" s="20">
        <v>71</v>
      </c>
      <c r="Q10" s="20">
        <v>70</v>
      </c>
      <c r="R10" s="20">
        <v>67</v>
      </c>
      <c r="S10" s="20">
        <v>64</v>
      </c>
      <c r="T10" s="20">
        <v>60</v>
      </c>
      <c r="U10" s="20">
        <v>57</v>
      </c>
      <c r="V10" s="35">
        <v>54</v>
      </c>
      <c r="W10" s="20">
        <v>51</v>
      </c>
      <c r="X10" s="20">
        <v>48</v>
      </c>
      <c r="Y10" s="39">
        <v>45</v>
      </c>
      <c r="Z10" s="37">
        <v>42</v>
      </c>
      <c r="AA10" s="200" t="s">
        <v>10</v>
      </c>
      <c r="AB10" s="201"/>
    </row>
    <row r="11" spans="1:28" ht="15.75" x14ac:dyDescent="0.25">
      <c r="A11" s="18">
        <v>106</v>
      </c>
      <c r="B11" s="14"/>
      <c r="C11" s="14">
        <v>99</v>
      </c>
      <c r="D11" s="14"/>
      <c r="E11" s="15">
        <v>94</v>
      </c>
      <c r="F11" s="19">
        <v>91</v>
      </c>
      <c r="G11" s="19">
        <v>87</v>
      </c>
      <c r="H11" s="19">
        <v>84</v>
      </c>
      <c r="I11" s="19">
        <v>81</v>
      </c>
      <c r="J11" s="19">
        <v>80</v>
      </c>
      <c r="K11" s="16">
        <v>78</v>
      </c>
      <c r="L11" s="16">
        <v>75</v>
      </c>
      <c r="M11" s="16">
        <v>73</v>
      </c>
      <c r="N11" s="19">
        <v>70</v>
      </c>
      <c r="O11" s="19">
        <v>68</v>
      </c>
      <c r="P11" s="20">
        <v>65</v>
      </c>
      <c r="Q11" s="20">
        <v>63</v>
      </c>
      <c r="R11" s="20">
        <v>60</v>
      </c>
      <c r="S11" s="20">
        <v>58</v>
      </c>
      <c r="T11" s="20">
        <v>55</v>
      </c>
      <c r="U11" s="20">
        <v>52</v>
      </c>
      <c r="V11" s="38">
        <v>49</v>
      </c>
      <c r="W11" s="20">
        <v>46</v>
      </c>
      <c r="X11" s="20">
        <v>43</v>
      </c>
      <c r="Y11" s="39">
        <v>41</v>
      </c>
      <c r="Z11" s="40">
        <v>38</v>
      </c>
      <c r="AA11" s="200" t="s">
        <v>11</v>
      </c>
      <c r="AB11" s="201"/>
    </row>
    <row r="12" spans="1:28" ht="15.75" x14ac:dyDescent="0.25">
      <c r="A12" s="18">
        <v>96</v>
      </c>
      <c r="B12" s="14"/>
      <c r="C12" s="14">
        <v>90</v>
      </c>
      <c r="D12" s="14"/>
      <c r="E12" s="15">
        <v>86</v>
      </c>
      <c r="F12" s="19">
        <v>83</v>
      </c>
      <c r="G12" s="19">
        <v>80</v>
      </c>
      <c r="H12" s="19">
        <v>77</v>
      </c>
      <c r="I12" s="19">
        <v>74</v>
      </c>
      <c r="J12" s="19">
        <v>73</v>
      </c>
      <c r="K12" s="16">
        <v>70</v>
      </c>
      <c r="L12" s="16">
        <v>68</v>
      </c>
      <c r="M12" s="16">
        <v>66</v>
      </c>
      <c r="N12" s="19">
        <v>64</v>
      </c>
      <c r="O12" s="19">
        <v>61</v>
      </c>
      <c r="P12" s="20">
        <v>59</v>
      </c>
      <c r="Q12" s="20">
        <v>58</v>
      </c>
      <c r="R12" s="20">
        <v>56</v>
      </c>
      <c r="S12" s="20">
        <v>53</v>
      </c>
      <c r="T12" s="20">
        <v>50</v>
      </c>
      <c r="U12" s="20">
        <v>48</v>
      </c>
      <c r="V12" s="35">
        <v>45</v>
      </c>
      <c r="W12" s="20">
        <v>42</v>
      </c>
      <c r="X12" s="20">
        <v>40</v>
      </c>
      <c r="Y12" s="39">
        <v>37</v>
      </c>
      <c r="Z12" s="37">
        <v>35</v>
      </c>
      <c r="AA12" s="200" t="s">
        <v>12</v>
      </c>
      <c r="AB12" s="201"/>
    </row>
    <row r="13" spans="1:28" ht="15.75" x14ac:dyDescent="0.25">
      <c r="A13" s="18">
        <v>81</v>
      </c>
      <c r="B13" s="14"/>
      <c r="C13" s="14">
        <v>76</v>
      </c>
      <c r="D13" s="14"/>
      <c r="E13" s="15">
        <v>72</v>
      </c>
      <c r="F13" s="19">
        <v>70</v>
      </c>
      <c r="G13" s="19">
        <v>67</v>
      </c>
      <c r="H13" s="19">
        <v>65</v>
      </c>
      <c r="I13" s="19">
        <v>62</v>
      </c>
      <c r="J13" s="19">
        <v>63</v>
      </c>
      <c r="K13" s="16">
        <v>61</v>
      </c>
      <c r="L13" s="16">
        <v>59</v>
      </c>
      <c r="M13" s="16">
        <v>56</v>
      </c>
      <c r="N13" s="19">
        <v>54</v>
      </c>
      <c r="O13" s="19">
        <v>52</v>
      </c>
      <c r="P13" s="20">
        <v>50</v>
      </c>
      <c r="Q13" s="20">
        <v>50</v>
      </c>
      <c r="R13" s="20">
        <v>47</v>
      </c>
      <c r="S13" s="20">
        <v>45</v>
      </c>
      <c r="T13" s="20">
        <v>43</v>
      </c>
      <c r="U13" s="20">
        <v>40</v>
      </c>
      <c r="V13" s="35">
        <v>38</v>
      </c>
      <c r="W13" s="20">
        <v>36</v>
      </c>
      <c r="X13" s="20">
        <v>33</v>
      </c>
      <c r="Y13" s="39">
        <v>31</v>
      </c>
      <c r="Z13" s="37">
        <v>28</v>
      </c>
      <c r="AA13" s="200" t="s">
        <v>13</v>
      </c>
      <c r="AB13" s="201"/>
    </row>
    <row r="14" spans="1:28" ht="15.75" x14ac:dyDescent="0.25">
      <c r="A14" s="18">
        <v>71</v>
      </c>
      <c r="B14" s="14"/>
      <c r="C14" s="14">
        <v>66</v>
      </c>
      <c r="D14" s="14"/>
      <c r="E14" s="15">
        <v>64</v>
      </c>
      <c r="F14" s="19">
        <v>62</v>
      </c>
      <c r="G14" s="19">
        <v>59</v>
      </c>
      <c r="H14" s="19">
        <v>57</v>
      </c>
      <c r="I14" s="19">
        <v>55</v>
      </c>
      <c r="J14" s="19">
        <v>55</v>
      </c>
      <c r="K14" s="16">
        <v>54</v>
      </c>
      <c r="L14" s="16">
        <v>52</v>
      </c>
      <c r="M14" s="16">
        <v>50</v>
      </c>
      <c r="N14" s="19">
        <v>48</v>
      </c>
      <c r="O14" s="19">
        <v>47</v>
      </c>
      <c r="P14" s="20">
        <v>45</v>
      </c>
      <c r="Q14" s="20">
        <v>43</v>
      </c>
      <c r="R14" s="20">
        <v>41</v>
      </c>
      <c r="S14" s="20">
        <v>39</v>
      </c>
      <c r="T14" s="20">
        <v>37</v>
      </c>
      <c r="U14" s="20">
        <v>35</v>
      </c>
      <c r="V14" s="35">
        <v>33</v>
      </c>
      <c r="W14" s="20">
        <v>31</v>
      </c>
      <c r="X14" s="20">
        <v>29</v>
      </c>
      <c r="Y14" s="39">
        <v>27</v>
      </c>
      <c r="Z14" s="37">
        <v>25</v>
      </c>
      <c r="AA14" s="200" t="s">
        <v>14</v>
      </c>
      <c r="AB14" s="201"/>
    </row>
    <row r="15" spans="1:28" ht="15.75" x14ac:dyDescent="0.25">
      <c r="A15" s="18">
        <v>30</v>
      </c>
      <c r="B15" s="14"/>
      <c r="C15" s="14">
        <v>30</v>
      </c>
      <c r="D15" s="14"/>
      <c r="E15" s="15">
        <v>30</v>
      </c>
      <c r="F15" s="19">
        <v>28</v>
      </c>
      <c r="G15" s="19">
        <v>28</v>
      </c>
      <c r="H15" s="19">
        <v>37</v>
      </c>
      <c r="I15" s="19">
        <v>37</v>
      </c>
      <c r="J15" s="19">
        <v>26</v>
      </c>
      <c r="K15" s="16">
        <v>26</v>
      </c>
      <c r="L15" s="16">
        <v>25</v>
      </c>
      <c r="M15" s="16">
        <v>25</v>
      </c>
      <c r="N15" s="19">
        <v>24</v>
      </c>
      <c r="O15" s="19">
        <v>24</v>
      </c>
      <c r="P15" s="20">
        <v>23</v>
      </c>
      <c r="Q15" s="20">
        <v>23</v>
      </c>
      <c r="R15" s="20">
        <v>20</v>
      </c>
      <c r="S15" s="20">
        <v>20</v>
      </c>
      <c r="T15" s="20">
        <v>20</v>
      </c>
      <c r="U15" s="20">
        <v>20</v>
      </c>
      <c r="V15" s="35">
        <v>18</v>
      </c>
      <c r="W15" s="20">
        <v>18</v>
      </c>
      <c r="X15" s="20">
        <v>15</v>
      </c>
      <c r="Y15" s="39">
        <v>15</v>
      </c>
      <c r="Z15" s="37">
        <v>15</v>
      </c>
      <c r="AA15" s="200" t="s">
        <v>15</v>
      </c>
      <c r="AB15" s="201"/>
    </row>
    <row r="16" spans="1:28" ht="15.75" x14ac:dyDescent="0.25">
      <c r="A16" s="29">
        <v>230</v>
      </c>
      <c r="B16" s="29">
        <v>225</v>
      </c>
      <c r="C16" s="29">
        <v>220</v>
      </c>
      <c r="D16" s="29">
        <v>215</v>
      </c>
      <c r="E16" s="29">
        <v>210</v>
      </c>
      <c r="F16" s="29">
        <v>200</v>
      </c>
      <c r="G16" s="29">
        <v>195</v>
      </c>
      <c r="H16" s="29">
        <v>190</v>
      </c>
      <c r="I16" s="29">
        <v>185</v>
      </c>
      <c r="J16" s="29">
        <v>180</v>
      </c>
      <c r="K16" s="29">
        <v>175</v>
      </c>
      <c r="L16" s="29">
        <v>170</v>
      </c>
      <c r="M16" s="29">
        <v>165</v>
      </c>
      <c r="N16" s="29">
        <v>160</v>
      </c>
      <c r="O16" s="29">
        <v>155</v>
      </c>
      <c r="P16" s="30">
        <v>150</v>
      </c>
      <c r="Q16" s="30">
        <v>145</v>
      </c>
      <c r="R16" s="30">
        <v>140</v>
      </c>
      <c r="S16" s="30">
        <v>135</v>
      </c>
      <c r="T16" s="30">
        <v>130</v>
      </c>
      <c r="U16" s="30">
        <v>125</v>
      </c>
      <c r="V16" s="30">
        <v>120</v>
      </c>
      <c r="W16" s="30">
        <v>115</v>
      </c>
      <c r="X16" s="30">
        <v>110</v>
      </c>
      <c r="Y16" s="29">
        <v>105</v>
      </c>
      <c r="Z16" s="45">
        <v>100</v>
      </c>
      <c r="AA16" s="200"/>
      <c r="AB16" s="201"/>
    </row>
  </sheetData>
  <sheetProtection algorithmName="SHA-512" hashValue="6+erq7oQ3ILYQYbqY3vkweGUTt9tuodL9f5ahvTFN49ALplXK1heaf+Nt5L5swiaZiLh8l2TpBFF6yVm1VCT6g==" saltValue="LVXfUb1uwOzMfCw8nTqV1Q==" spinCount="100000" sheet="1" objects="1" scenarios="1" selectLockedCells="1"/>
  <mergeCells count="18">
    <mergeCell ref="AA16:AB16"/>
    <mergeCell ref="AA5:AB5"/>
    <mergeCell ref="AA6:AB6"/>
    <mergeCell ref="AA7:AB7"/>
    <mergeCell ref="AA8:AB8"/>
    <mergeCell ref="AA9:AB9"/>
    <mergeCell ref="AA10:AB10"/>
    <mergeCell ref="AA11:AB11"/>
    <mergeCell ref="AA12:AB12"/>
    <mergeCell ref="AA13:AB13"/>
    <mergeCell ref="AA14:AB14"/>
    <mergeCell ref="AA15:AB15"/>
    <mergeCell ref="AA4:AB4"/>
    <mergeCell ref="A1:E1"/>
    <mergeCell ref="F1:T1"/>
    <mergeCell ref="V1:Z1"/>
    <mergeCell ref="AA2:AB2"/>
    <mergeCell ref="AA3:A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10"/>
  <sheetViews>
    <sheetView workbookViewId="0"/>
  </sheetViews>
  <sheetFormatPr defaultRowHeight="15" x14ac:dyDescent="0.25"/>
  <cols>
    <col min="1" max="1" width="1.28515625" style="51" customWidth="1"/>
    <col min="2" max="3" width="4.140625" style="51" hidden="1" customWidth="1"/>
    <col min="4" max="4" width="3.5703125" style="63" customWidth="1"/>
    <col min="5" max="5" width="5.85546875" style="51" customWidth="1"/>
    <col min="6" max="6" width="6.7109375" style="73" customWidth="1"/>
    <col min="7" max="7" width="3" customWidth="1"/>
    <col min="8" max="8" width="6.7109375" style="67" customWidth="1"/>
    <col min="9" max="10" width="5.140625" style="73" customWidth="1"/>
    <col min="11" max="11" width="4.42578125" style="181" customWidth="1"/>
    <col min="12" max="12" width="4.7109375" style="73" customWidth="1"/>
    <col min="13" max="13" width="3.28515625" style="51" customWidth="1"/>
    <col min="38" max="84" width="4.7109375" style="51" customWidth="1"/>
    <col min="85" max="16384" width="9.140625" style="51"/>
  </cols>
  <sheetData>
    <row r="1" spans="1:16" ht="8.25" customHeight="1" x14ac:dyDescent="0.25"/>
    <row r="2" spans="1:16" ht="15.75" customHeight="1" x14ac:dyDescent="0.25">
      <c r="I2" s="78" t="s">
        <v>34</v>
      </c>
      <c r="J2" s="79">
        <f>COUNTIF(E$6:E$109,I2)</f>
        <v>51</v>
      </c>
    </row>
    <row r="3" spans="1:16" ht="15.75" customHeight="1" x14ac:dyDescent="0.25">
      <c r="I3" s="78" t="s">
        <v>33</v>
      </c>
      <c r="J3" s="79">
        <f>COUNTIF(E$6:E$109,I3)</f>
        <v>28</v>
      </c>
    </row>
    <row r="4" spans="1:16" ht="15.75" customHeight="1" thickBot="1" x14ac:dyDescent="0.3">
      <c r="A4" s="62"/>
      <c r="B4" s="62"/>
      <c r="E4" s="210" t="s">
        <v>64</v>
      </c>
      <c r="F4" s="210"/>
      <c r="G4" s="165">
        <v>15</v>
      </c>
      <c r="H4" s="166" t="s">
        <v>63</v>
      </c>
      <c r="I4" s="80" t="s">
        <v>35</v>
      </c>
      <c r="J4" s="81">
        <f>COUNTIF(E$6:E$109,I4)</f>
        <v>14</v>
      </c>
      <c r="K4" s="182">
        <f>SUM(J2:J4)</f>
        <v>93</v>
      </c>
      <c r="L4" s="82" t="s">
        <v>58</v>
      </c>
    </row>
    <row r="5" spans="1:16" ht="15.75" customHeight="1" x14ac:dyDescent="0.25">
      <c r="E5" s="211" t="s">
        <v>36</v>
      </c>
      <c r="F5" s="212"/>
      <c r="G5" s="212"/>
      <c r="H5" s="213"/>
      <c r="I5" s="212"/>
      <c r="J5" s="212"/>
      <c r="K5" s="183">
        <f>I6-G4</f>
        <v>185</v>
      </c>
      <c r="L5" s="83" t="s">
        <v>31</v>
      </c>
      <c r="M5" s="54"/>
    </row>
    <row r="6" spans="1:16" x14ac:dyDescent="0.25">
      <c r="D6" s="63">
        <v>1</v>
      </c>
      <c r="E6" s="55" t="s">
        <v>30</v>
      </c>
      <c r="F6" s="74" t="s">
        <v>56</v>
      </c>
      <c r="G6" s="71" t="s">
        <v>54</v>
      </c>
      <c r="H6" s="72" t="s">
        <v>37</v>
      </c>
      <c r="I6" s="74">
        <v>200</v>
      </c>
      <c r="J6" s="74">
        <v>193</v>
      </c>
      <c r="K6" s="184">
        <f>I6-J6-G4</f>
        <v>-8</v>
      </c>
      <c r="L6" s="84">
        <f>I6+J6</f>
        <v>393</v>
      </c>
      <c r="M6" s="54"/>
    </row>
    <row r="7" spans="1:16" x14ac:dyDescent="0.25">
      <c r="D7" s="63">
        <v>2</v>
      </c>
      <c r="E7" s="55" t="s">
        <v>30</v>
      </c>
      <c r="F7" s="74" t="s">
        <v>56</v>
      </c>
      <c r="G7" s="71" t="s">
        <v>54</v>
      </c>
      <c r="H7" s="72" t="s">
        <v>38</v>
      </c>
      <c r="I7" s="74">
        <v>200</v>
      </c>
      <c r="J7" s="74">
        <v>175</v>
      </c>
      <c r="K7" s="184">
        <f>I7-J7-G4</f>
        <v>10</v>
      </c>
      <c r="L7" s="84">
        <f t="shared" ref="L7:L17" si="0">I7+J7+K7</f>
        <v>385</v>
      </c>
      <c r="M7" s="54"/>
    </row>
    <row r="8" spans="1:16" x14ac:dyDescent="0.25">
      <c r="D8" s="63">
        <v>3</v>
      </c>
      <c r="E8" s="53" t="s">
        <v>32</v>
      </c>
      <c r="F8" s="74" t="s">
        <v>56</v>
      </c>
      <c r="G8" s="71" t="s">
        <v>54</v>
      </c>
      <c r="H8" s="72" t="s">
        <v>39</v>
      </c>
      <c r="I8" s="74">
        <v>200</v>
      </c>
      <c r="J8" s="74">
        <v>157</v>
      </c>
      <c r="K8" s="184">
        <f>I8-J8-G4</f>
        <v>28</v>
      </c>
      <c r="L8" s="84">
        <f t="shared" si="0"/>
        <v>385</v>
      </c>
      <c r="M8" s="54"/>
    </row>
    <row r="9" spans="1:16" x14ac:dyDescent="0.25">
      <c r="D9" s="63">
        <v>4</v>
      </c>
      <c r="E9" s="53" t="s">
        <v>32</v>
      </c>
      <c r="F9" s="74" t="s">
        <v>56</v>
      </c>
      <c r="G9" s="71" t="s">
        <v>54</v>
      </c>
      <c r="H9" s="72" t="s">
        <v>40</v>
      </c>
      <c r="I9" s="74">
        <v>200</v>
      </c>
      <c r="J9" s="74">
        <v>138</v>
      </c>
      <c r="K9" s="184">
        <f>I9-J9-G4</f>
        <v>47</v>
      </c>
      <c r="L9" s="84">
        <f t="shared" si="0"/>
        <v>385</v>
      </c>
      <c r="M9" s="54"/>
    </row>
    <row r="10" spans="1:16" x14ac:dyDescent="0.25">
      <c r="D10" s="63">
        <v>5</v>
      </c>
      <c r="E10" s="53" t="s">
        <v>32</v>
      </c>
      <c r="F10" s="74" t="s">
        <v>56</v>
      </c>
      <c r="G10" s="71" t="s">
        <v>54</v>
      </c>
      <c r="H10" s="72" t="s">
        <v>41</v>
      </c>
      <c r="I10" s="74">
        <v>200</v>
      </c>
      <c r="J10" s="74">
        <v>129</v>
      </c>
      <c r="K10" s="184">
        <f>I10-J10-G4</f>
        <v>56</v>
      </c>
      <c r="L10" s="84">
        <f t="shared" si="0"/>
        <v>385</v>
      </c>
      <c r="M10" s="54"/>
    </row>
    <row r="11" spans="1:16" x14ac:dyDescent="0.25">
      <c r="D11" s="63">
        <v>6</v>
      </c>
      <c r="E11" s="53" t="s">
        <v>32</v>
      </c>
      <c r="F11" s="74" t="s">
        <v>56</v>
      </c>
      <c r="G11" s="71" t="s">
        <v>54</v>
      </c>
      <c r="H11" s="72" t="s">
        <v>42</v>
      </c>
      <c r="I11" s="74">
        <v>200</v>
      </c>
      <c r="J11" s="74">
        <v>121</v>
      </c>
      <c r="K11" s="184">
        <f>I11-J11-G4</f>
        <v>64</v>
      </c>
      <c r="L11" s="84">
        <f t="shared" si="0"/>
        <v>385</v>
      </c>
      <c r="M11" s="54"/>
    </row>
    <row r="12" spans="1:16" x14ac:dyDescent="0.25">
      <c r="D12" s="63">
        <v>7</v>
      </c>
      <c r="E12" s="53" t="s">
        <v>32</v>
      </c>
      <c r="F12" s="74" t="s">
        <v>56</v>
      </c>
      <c r="G12" s="71" t="s">
        <v>54</v>
      </c>
      <c r="H12" s="72" t="s">
        <v>43</v>
      </c>
      <c r="I12" s="74">
        <v>200</v>
      </c>
      <c r="J12" s="74">
        <v>112</v>
      </c>
      <c r="K12" s="184">
        <f>I12-J12-G4</f>
        <v>73</v>
      </c>
      <c r="L12" s="84">
        <f t="shared" si="0"/>
        <v>385</v>
      </c>
      <c r="M12" s="54"/>
    </row>
    <row r="13" spans="1:16" x14ac:dyDescent="0.25">
      <c r="D13" s="63">
        <v>8</v>
      </c>
      <c r="E13" s="53" t="s">
        <v>32</v>
      </c>
      <c r="F13" s="74" t="s">
        <v>56</v>
      </c>
      <c r="G13" s="71" t="s">
        <v>54</v>
      </c>
      <c r="H13" s="72" t="s">
        <v>44</v>
      </c>
      <c r="I13" s="74">
        <v>200</v>
      </c>
      <c r="J13" s="74">
        <v>100</v>
      </c>
      <c r="K13" s="184">
        <f>I13-J13-G4</f>
        <v>85</v>
      </c>
      <c r="L13" s="84">
        <f t="shared" si="0"/>
        <v>385</v>
      </c>
      <c r="M13" s="54"/>
      <c r="P13" s="180"/>
    </row>
    <row r="14" spans="1:16" x14ac:dyDescent="0.25">
      <c r="D14" s="63">
        <v>9</v>
      </c>
      <c r="E14" s="53" t="s">
        <v>32</v>
      </c>
      <c r="F14" s="74" t="s">
        <v>56</v>
      </c>
      <c r="G14" s="71" t="s">
        <v>54</v>
      </c>
      <c r="H14" s="72" t="s">
        <v>25</v>
      </c>
      <c r="I14" s="74">
        <v>200</v>
      </c>
      <c r="J14" s="74">
        <v>91</v>
      </c>
      <c r="K14" s="184">
        <f>I14-J14-G4</f>
        <v>94</v>
      </c>
      <c r="L14" s="84">
        <f t="shared" si="0"/>
        <v>385</v>
      </c>
      <c r="M14" s="54"/>
    </row>
    <row r="15" spans="1:16" ht="15.75" customHeight="1" x14ac:dyDescent="0.25">
      <c r="D15" s="63">
        <v>10</v>
      </c>
      <c r="E15" s="53" t="s">
        <v>32</v>
      </c>
      <c r="F15" s="74" t="s">
        <v>56</v>
      </c>
      <c r="G15" s="71" t="s">
        <v>54</v>
      </c>
      <c r="H15" s="72" t="s">
        <v>26</v>
      </c>
      <c r="I15" s="74">
        <v>200</v>
      </c>
      <c r="J15" s="74">
        <v>83</v>
      </c>
      <c r="K15" s="184">
        <f>I15-J15-G4</f>
        <v>102</v>
      </c>
      <c r="L15" s="84">
        <f t="shared" si="0"/>
        <v>385</v>
      </c>
      <c r="M15" s="54"/>
    </row>
    <row r="16" spans="1:16" ht="15.75" customHeight="1" x14ac:dyDescent="0.25">
      <c r="D16" s="63">
        <v>11</v>
      </c>
      <c r="E16" s="53" t="s">
        <v>32</v>
      </c>
      <c r="F16" s="74" t="s">
        <v>56</v>
      </c>
      <c r="G16" s="71" t="s">
        <v>54</v>
      </c>
      <c r="H16" s="72" t="s">
        <v>27</v>
      </c>
      <c r="I16" s="74">
        <v>200</v>
      </c>
      <c r="J16" s="74">
        <v>70</v>
      </c>
      <c r="K16" s="184">
        <f>I16-J16-G4</f>
        <v>115</v>
      </c>
      <c r="L16" s="84">
        <f t="shared" si="0"/>
        <v>385</v>
      </c>
      <c r="M16" s="54"/>
    </row>
    <row r="17" spans="3:13" ht="15.75" customHeight="1" thickBot="1" x14ac:dyDescent="0.3">
      <c r="D17" s="63">
        <v>12</v>
      </c>
      <c r="E17" s="56" t="s">
        <v>32</v>
      </c>
      <c r="F17" s="75" t="s">
        <v>56</v>
      </c>
      <c r="G17" s="69" t="s">
        <v>54</v>
      </c>
      <c r="H17" s="70" t="s">
        <v>28</v>
      </c>
      <c r="I17" s="75">
        <v>200</v>
      </c>
      <c r="J17" s="75">
        <v>62</v>
      </c>
      <c r="K17" s="185">
        <f>I17-J17-G4</f>
        <v>123</v>
      </c>
      <c r="L17" s="85">
        <f t="shared" si="0"/>
        <v>385</v>
      </c>
      <c r="M17" s="54"/>
    </row>
    <row r="18" spans="3:13" ht="15.75" customHeight="1" x14ac:dyDescent="0.25">
      <c r="C18" s="62"/>
      <c r="E18" s="211" t="s">
        <v>36</v>
      </c>
      <c r="F18" s="212"/>
      <c r="G18" s="212"/>
      <c r="H18" s="212"/>
      <c r="I18" s="212"/>
      <c r="J18" s="212"/>
      <c r="K18" s="183">
        <f>I19-G4</f>
        <v>178</v>
      </c>
      <c r="L18" s="83" t="s">
        <v>31</v>
      </c>
      <c r="M18" s="54"/>
    </row>
    <row r="19" spans="3:13" ht="15.75" customHeight="1" x14ac:dyDescent="0.25">
      <c r="D19" s="63">
        <v>13</v>
      </c>
      <c r="E19" s="55" t="s">
        <v>30</v>
      </c>
      <c r="F19" s="74" t="s">
        <v>37</v>
      </c>
      <c r="G19" s="68" t="s">
        <v>54</v>
      </c>
      <c r="H19" s="67" t="s">
        <v>38</v>
      </c>
      <c r="I19" s="74">
        <v>193</v>
      </c>
      <c r="J19" s="74">
        <v>175</v>
      </c>
      <c r="K19" s="184">
        <f t="shared" ref="K19:K29" si="1">K$18-J19</f>
        <v>3</v>
      </c>
      <c r="L19" s="84">
        <f>I19+J19</f>
        <v>368</v>
      </c>
      <c r="M19" s="54"/>
    </row>
    <row r="20" spans="3:13" ht="15.75" customHeight="1" x14ac:dyDescent="0.25">
      <c r="D20" s="63">
        <v>14</v>
      </c>
      <c r="E20" s="53" t="s">
        <v>32</v>
      </c>
      <c r="F20" s="74" t="s">
        <v>37</v>
      </c>
      <c r="G20" s="68" t="s">
        <v>54</v>
      </c>
      <c r="H20" s="67" t="s">
        <v>39</v>
      </c>
      <c r="I20" s="74">
        <v>193</v>
      </c>
      <c r="J20" s="74">
        <v>157</v>
      </c>
      <c r="K20" s="184">
        <f t="shared" si="1"/>
        <v>21</v>
      </c>
      <c r="L20" s="84">
        <f t="shared" ref="L20:L29" si="2">I20+J20+K20</f>
        <v>371</v>
      </c>
      <c r="M20" s="54"/>
    </row>
    <row r="21" spans="3:13" ht="15.75" customHeight="1" x14ac:dyDescent="0.25">
      <c r="D21" s="63">
        <v>15</v>
      </c>
      <c r="E21" s="53" t="s">
        <v>32</v>
      </c>
      <c r="F21" s="74" t="s">
        <v>37</v>
      </c>
      <c r="G21" s="68" t="s">
        <v>54</v>
      </c>
      <c r="H21" s="67" t="s">
        <v>40</v>
      </c>
      <c r="I21" s="74">
        <v>193</v>
      </c>
      <c r="J21" s="74">
        <v>138</v>
      </c>
      <c r="K21" s="184">
        <f t="shared" si="1"/>
        <v>40</v>
      </c>
      <c r="L21" s="84">
        <f t="shared" si="2"/>
        <v>371</v>
      </c>
      <c r="M21" s="54"/>
    </row>
    <row r="22" spans="3:13" ht="15.75" customHeight="1" x14ac:dyDescent="0.25">
      <c r="D22" s="63">
        <v>16</v>
      </c>
      <c r="E22" s="53" t="s">
        <v>32</v>
      </c>
      <c r="F22" s="74" t="s">
        <v>37</v>
      </c>
      <c r="G22" s="68" t="s">
        <v>54</v>
      </c>
      <c r="H22" s="67" t="s">
        <v>41</v>
      </c>
      <c r="I22" s="74">
        <v>193</v>
      </c>
      <c r="J22" s="74">
        <v>129</v>
      </c>
      <c r="K22" s="184">
        <f t="shared" si="1"/>
        <v>49</v>
      </c>
      <c r="L22" s="84">
        <f t="shared" si="2"/>
        <v>371</v>
      </c>
      <c r="M22" s="54"/>
    </row>
    <row r="23" spans="3:13" ht="15.75" customHeight="1" x14ac:dyDescent="0.25">
      <c r="D23" s="63">
        <v>17</v>
      </c>
      <c r="E23" s="53" t="s">
        <v>32</v>
      </c>
      <c r="F23" s="74" t="s">
        <v>37</v>
      </c>
      <c r="G23" s="68" t="s">
        <v>54</v>
      </c>
      <c r="H23" s="67" t="s">
        <v>42</v>
      </c>
      <c r="I23" s="74">
        <v>193</v>
      </c>
      <c r="J23" s="74">
        <v>121</v>
      </c>
      <c r="K23" s="184">
        <f t="shared" si="1"/>
        <v>57</v>
      </c>
      <c r="L23" s="84">
        <f t="shared" si="2"/>
        <v>371</v>
      </c>
      <c r="M23" s="54"/>
    </row>
    <row r="24" spans="3:13" ht="15.75" customHeight="1" x14ac:dyDescent="0.25">
      <c r="D24" s="63">
        <v>18</v>
      </c>
      <c r="E24" s="53" t="s">
        <v>32</v>
      </c>
      <c r="F24" s="74" t="s">
        <v>37</v>
      </c>
      <c r="G24" s="68" t="s">
        <v>54</v>
      </c>
      <c r="H24" s="67" t="s">
        <v>43</v>
      </c>
      <c r="I24" s="74">
        <v>193</v>
      </c>
      <c r="J24" s="74">
        <v>112</v>
      </c>
      <c r="K24" s="184">
        <f t="shared" si="1"/>
        <v>66</v>
      </c>
      <c r="L24" s="84">
        <f t="shared" si="2"/>
        <v>371</v>
      </c>
      <c r="M24" s="54"/>
    </row>
    <row r="25" spans="3:13" ht="15.75" customHeight="1" x14ac:dyDescent="0.25">
      <c r="D25" s="63">
        <v>19</v>
      </c>
      <c r="E25" s="53" t="s">
        <v>32</v>
      </c>
      <c r="F25" s="74" t="s">
        <v>37</v>
      </c>
      <c r="G25" s="68" t="s">
        <v>54</v>
      </c>
      <c r="H25" s="67" t="s">
        <v>44</v>
      </c>
      <c r="I25" s="74">
        <v>193</v>
      </c>
      <c r="J25" s="74">
        <v>100</v>
      </c>
      <c r="K25" s="184">
        <f t="shared" si="1"/>
        <v>78</v>
      </c>
      <c r="L25" s="84">
        <f t="shared" si="2"/>
        <v>371</v>
      </c>
      <c r="M25" s="54"/>
    </row>
    <row r="26" spans="3:13" ht="15.75" customHeight="1" x14ac:dyDescent="0.25">
      <c r="D26" s="63">
        <v>20</v>
      </c>
      <c r="E26" s="53" t="s">
        <v>32</v>
      </c>
      <c r="F26" s="74" t="s">
        <v>37</v>
      </c>
      <c r="G26" s="68" t="s">
        <v>54</v>
      </c>
      <c r="H26" s="67" t="s">
        <v>25</v>
      </c>
      <c r="I26" s="74">
        <v>193</v>
      </c>
      <c r="J26" s="74">
        <v>91</v>
      </c>
      <c r="K26" s="184">
        <f t="shared" si="1"/>
        <v>87</v>
      </c>
      <c r="L26" s="84">
        <f t="shared" si="2"/>
        <v>371</v>
      </c>
      <c r="M26" s="54"/>
    </row>
    <row r="27" spans="3:13" ht="15.75" customHeight="1" x14ac:dyDescent="0.25">
      <c r="D27" s="63">
        <v>21</v>
      </c>
      <c r="E27" s="53" t="s">
        <v>32</v>
      </c>
      <c r="F27" s="74" t="s">
        <v>37</v>
      </c>
      <c r="G27" s="68" t="s">
        <v>54</v>
      </c>
      <c r="H27" s="67" t="s">
        <v>26</v>
      </c>
      <c r="I27" s="74">
        <v>193</v>
      </c>
      <c r="J27" s="74">
        <v>83</v>
      </c>
      <c r="K27" s="184">
        <f t="shared" si="1"/>
        <v>95</v>
      </c>
      <c r="L27" s="84">
        <f t="shared" si="2"/>
        <v>371</v>
      </c>
      <c r="M27" s="54"/>
    </row>
    <row r="28" spans="3:13" ht="15.75" customHeight="1" x14ac:dyDescent="0.25">
      <c r="D28" s="63">
        <v>22</v>
      </c>
      <c r="E28" s="53" t="s">
        <v>32</v>
      </c>
      <c r="F28" s="74" t="s">
        <v>37</v>
      </c>
      <c r="G28" s="68" t="s">
        <v>54</v>
      </c>
      <c r="H28" s="67" t="s">
        <v>27</v>
      </c>
      <c r="I28" s="74">
        <v>193</v>
      </c>
      <c r="J28" s="74">
        <v>70</v>
      </c>
      <c r="K28" s="184">
        <f t="shared" si="1"/>
        <v>108</v>
      </c>
      <c r="L28" s="84">
        <f t="shared" si="2"/>
        <v>371</v>
      </c>
      <c r="M28" s="54"/>
    </row>
    <row r="29" spans="3:13" ht="15.75" customHeight="1" thickBot="1" x14ac:dyDescent="0.3">
      <c r="D29" s="63">
        <v>23</v>
      </c>
      <c r="E29" s="56" t="s">
        <v>32</v>
      </c>
      <c r="F29" s="75" t="s">
        <v>37</v>
      </c>
      <c r="G29" s="69" t="s">
        <v>54</v>
      </c>
      <c r="H29" s="70" t="s">
        <v>28</v>
      </c>
      <c r="I29" s="75">
        <v>193</v>
      </c>
      <c r="J29" s="75">
        <v>62</v>
      </c>
      <c r="K29" s="185">
        <f t="shared" si="1"/>
        <v>116</v>
      </c>
      <c r="L29" s="85">
        <f t="shared" si="2"/>
        <v>371</v>
      </c>
      <c r="M29" s="54"/>
    </row>
    <row r="30" spans="3:13" ht="15.75" customHeight="1" x14ac:dyDescent="0.25">
      <c r="E30" s="211" t="s">
        <v>36</v>
      </c>
      <c r="F30" s="212"/>
      <c r="G30" s="212"/>
      <c r="H30" s="212"/>
      <c r="I30" s="212"/>
      <c r="J30" s="212"/>
      <c r="K30" s="183">
        <f>I31-G4</f>
        <v>160</v>
      </c>
      <c r="L30" s="83" t="s">
        <v>31</v>
      </c>
      <c r="M30" s="54"/>
    </row>
    <row r="31" spans="3:13" ht="15.75" customHeight="1" x14ac:dyDescent="0.25">
      <c r="D31" s="63">
        <v>24</v>
      </c>
      <c r="E31" s="55" t="s">
        <v>30</v>
      </c>
      <c r="F31" s="74" t="s">
        <v>38</v>
      </c>
      <c r="G31" t="s">
        <v>54</v>
      </c>
      <c r="H31" s="67" t="s">
        <v>39</v>
      </c>
      <c r="I31" s="74">
        <v>175</v>
      </c>
      <c r="J31" s="74">
        <v>157</v>
      </c>
      <c r="K31" s="184">
        <f t="shared" ref="K31:K40" si="3">K$30-J31</f>
        <v>3</v>
      </c>
      <c r="L31" s="84">
        <f>I31+J31</f>
        <v>332</v>
      </c>
      <c r="M31" s="54"/>
    </row>
    <row r="32" spans="3:13" ht="15.75" customHeight="1" x14ac:dyDescent="0.25">
      <c r="D32" s="63">
        <v>25</v>
      </c>
      <c r="E32" s="53" t="s">
        <v>32</v>
      </c>
      <c r="F32" s="74" t="s">
        <v>38</v>
      </c>
      <c r="G32" t="s">
        <v>54</v>
      </c>
      <c r="H32" s="67" t="s">
        <v>40</v>
      </c>
      <c r="I32" s="74">
        <v>175</v>
      </c>
      <c r="J32" s="74">
        <v>138</v>
      </c>
      <c r="K32" s="184">
        <f t="shared" si="3"/>
        <v>22</v>
      </c>
      <c r="L32" s="84">
        <f t="shared" ref="L32:L40" si="4">I32+J32+K32</f>
        <v>335</v>
      </c>
      <c r="M32" s="54"/>
    </row>
    <row r="33" spans="4:13" ht="15.75" customHeight="1" x14ac:dyDescent="0.25">
      <c r="D33" s="63">
        <v>26</v>
      </c>
      <c r="E33" s="53" t="s">
        <v>32</v>
      </c>
      <c r="F33" s="74" t="s">
        <v>38</v>
      </c>
      <c r="G33" t="s">
        <v>54</v>
      </c>
      <c r="H33" s="67" t="s">
        <v>41</v>
      </c>
      <c r="I33" s="74">
        <v>175</v>
      </c>
      <c r="J33" s="74">
        <v>129</v>
      </c>
      <c r="K33" s="184">
        <f t="shared" si="3"/>
        <v>31</v>
      </c>
      <c r="L33" s="84">
        <f t="shared" si="4"/>
        <v>335</v>
      </c>
      <c r="M33" s="54"/>
    </row>
    <row r="34" spans="4:13" ht="15.75" customHeight="1" x14ac:dyDescent="0.25">
      <c r="D34" s="63">
        <v>27</v>
      </c>
      <c r="E34" s="53" t="s">
        <v>32</v>
      </c>
      <c r="F34" s="74" t="s">
        <v>38</v>
      </c>
      <c r="G34" t="s">
        <v>54</v>
      </c>
      <c r="H34" s="67" t="s">
        <v>42</v>
      </c>
      <c r="I34" s="74">
        <v>175</v>
      </c>
      <c r="J34" s="74">
        <v>121</v>
      </c>
      <c r="K34" s="184">
        <f t="shared" si="3"/>
        <v>39</v>
      </c>
      <c r="L34" s="84">
        <f t="shared" si="4"/>
        <v>335</v>
      </c>
      <c r="M34" s="54"/>
    </row>
    <row r="35" spans="4:13" ht="15.75" customHeight="1" x14ac:dyDescent="0.25">
      <c r="D35" s="63">
        <v>28</v>
      </c>
      <c r="E35" s="53" t="s">
        <v>32</v>
      </c>
      <c r="F35" s="74" t="s">
        <v>38</v>
      </c>
      <c r="G35" t="s">
        <v>54</v>
      </c>
      <c r="H35" s="67" t="s">
        <v>43</v>
      </c>
      <c r="I35" s="74">
        <v>175</v>
      </c>
      <c r="J35" s="74">
        <v>112</v>
      </c>
      <c r="K35" s="184">
        <f t="shared" si="3"/>
        <v>48</v>
      </c>
      <c r="L35" s="84">
        <f t="shared" si="4"/>
        <v>335</v>
      </c>
      <c r="M35" s="54"/>
    </row>
    <row r="36" spans="4:13" ht="15.75" customHeight="1" x14ac:dyDescent="0.25">
      <c r="D36" s="63">
        <v>29</v>
      </c>
      <c r="E36" s="53" t="s">
        <v>32</v>
      </c>
      <c r="F36" s="74" t="s">
        <v>38</v>
      </c>
      <c r="G36" t="s">
        <v>54</v>
      </c>
      <c r="H36" s="67" t="s">
        <v>44</v>
      </c>
      <c r="I36" s="74">
        <v>175</v>
      </c>
      <c r="J36" s="74">
        <v>100</v>
      </c>
      <c r="K36" s="184">
        <f t="shared" si="3"/>
        <v>60</v>
      </c>
      <c r="L36" s="84">
        <f t="shared" si="4"/>
        <v>335</v>
      </c>
      <c r="M36" s="54"/>
    </row>
    <row r="37" spans="4:13" ht="15.75" customHeight="1" x14ac:dyDescent="0.25">
      <c r="D37" s="63">
        <v>30</v>
      </c>
      <c r="E37" s="53" t="s">
        <v>32</v>
      </c>
      <c r="F37" s="74" t="s">
        <v>38</v>
      </c>
      <c r="G37" t="s">
        <v>54</v>
      </c>
      <c r="H37" s="67" t="s">
        <v>25</v>
      </c>
      <c r="I37" s="74">
        <v>175</v>
      </c>
      <c r="J37" s="74">
        <v>91</v>
      </c>
      <c r="K37" s="184">
        <f t="shared" si="3"/>
        <v>69</v>
      </c>
      <c r="L37" s="84">
        <f t="shared" si="4"/>
        <v>335</v>
      </c>
      <c r="M37" s="54"/>
    </row>
    <row r="38" spans="4:13" ht="15.75" customHeight="1" x14ac:dyDescent="0.25">
      <c r="D38" s="63">
        <v>31</v>
      </c>
      <c r="E38" s="53" t="s">
        <v>32</v>
      </c>
      <c r="F38" s="74" t="s">
        <v>38</v>
      </c>
      <c r="G38" t="s">
        <v>54</v>
      </c>
      <c r="H38" s="67" t="s">
        <v>26</v>
      </c>
      <c r="I38" s="74">
        <v>175</v>
      </c>
      <c r="J38" s="74">
        <v>83</v>
      </c>
      <c r="K38" s="184">
        <f t="shared" si="3"/>
        <v>77</v>
      </c>
      <c r="L38" s="84">
        <f t="shared" si="4"/>
        <v>335</v>
      </c>
      <c r="M38" s="54"/>
    </row>
    <row r="39" spans="4:13" ht="15.75" customHeight="1" x14ac:dyDescent="0.25">
      <c r="D39" s="63">
        <v>32</v>
      </c>
      <c r="E39" s="53" t="s">
        <v>32</v>
      </c>
      <c r="F39" s="74" t="s">
        <v>38</v>
      </c>
      <c r="G39" t="s">
        <v>54</v>
      </c>
      <c r="H39" s="67" t="s">
        <v>27</v>
      </c>
      <c r="I39" s="74">
        <v>175</v>
      </c>
      <c r="J39" s="74">
        <v>70</v>
      </c>
      <c r="K39" s="184">
        <f t="shared" si="3"/>
        <v>90</v>
      </c>
      <c r="L39" s="84">
        <f t="shared" si="4"/>
        <v>335</v>
      </c>
      <c r="M39" s="54"/>
    </row>
    <row r="40" spans="4:13" ht="15.75" customHeight="1" thickBot="1" x14ac:dyDescent="0.3">
      <c r="D40" s="63">
        <v>33</v>
      </c>
      <c r="E40" s="56" t="s">
        <v>32</v>
      </c>
      <c r="F40" s="75" t="s">
        <v>38</v>
      </c>
      <c r="G40" s="69" t="s">
        <v>54</v>
      </c>
      <c r="H40" s="70" t="s">
        <v>28</v>
      </c>
      <c r="I40" s="75">
        <v>175</v>
      </c>
      <c r="J40" s="75">
        <v>62</v>
      </c>
      <c r="K40" s="185">
        <f t="shared" si="3"/>
        <v>98</v>
      </c>
      <c r="L40" s="85">
        <f t="shared" si="4"/>
        <v>335</v>
      </c>
      <c r="M40" s="54"/>
    </row>
    <row r="41" spans="4:13" ht="15.75" customHeight="1" x14ac:dyDescent="0.25">
      <c r="E41" s="211" t="s">
        <v>36</v>
      </c>
      <c r="F41" s="212"/>
      <c r="G41" s="212"/>
      <c r="H41" s="212"/>
      <c r="I41" s="212"/>
      <c r="J41" s="212"/>
      <c r="K41" s="183">
        <f>I42-G4</f>
        <v>142</v>
      </c>
      <c r="L41" s="83" t="s">
        <v>31</v>
      </c>
      <c r="M41" s="54"/>
    </row>
    <row r="42" spans="4:13" ht="15.75" customHeight="1" x14ac:dyDescent="0.25">
      <c r="D42" s="63">
        <v>34</v>
      </c>
      <c r="E42" s="55" t="s">
        <v>30</v>
      </c>
      <c r="F42" s="74" t="s">
        <v>39</v>
      </c>
      <c r="G42" t="s">
        <v>54</v>
      </c>
      <c r="H42" s="67" t="s">
        <v>40</v>
      </c>
      <c r="I42" s="74">
        <v>157</v>
      </c>
      <c r="J42" s="74">
        <v>138</v>
      </c>
      <c r="K42" s="184">
        <f t="shared" ref="K42:K50" si="5">K$41-J42</f>
        <v>4</v>
      </c>
      <c r="L42" s="84">
        <f>I42+J42</f>
        <v>295</v>
      </c>
      <c r="M42" s="54"/>
    </row>
    <row r="43" spans="4:13" ht="15.75" customHeight="1" x14ac:dyDescent="0.25">
      <c r="D43" s="63">
        <v>35</v>
      </c>
      <c r="E43" s="55" t="s">
        <v>30</v>
      </c>
      <c r="F43" s="74" t="s">
        <v>39</v>
      </c>
      <c r="G43" t="s">
        <v>54</v>
      </c>
      <c r="H43" s="67" t="s">
        <v>41</v>
      </c>
      <c r="I43" s="74">
        <v>157</v>
      </c>
      <c r="J43" s="74">
        <v>129</v>
      </c>
      <c r="K43" s="184">
        <f t="shared" si="5"/>
        <v>13</v>
      </c>
      <c r="L43" s="84">
        <f t="shared" ref="L43:L50" si="6">I43+J43+K43</f>
        <v>299</v>
      </c>
      <c r="M43" s="54"/>
    </row>
    <row r="44" spans="4:13" ht="15.75" customHeight="1" x14ac:dyDescent="0.25">
      <c r="D44" s="63">
        <v>36</v>
      </c>
      <c r="E44" s="53" t="s">
        <v>32</v>
      </c>
      <c r="F44" s="74" t="s">
        <v>39</v>
      </c>
      <c r="G44" t="s">
        <v>54</v>
      </c>
      <c r="H44" s="67" t="s">
        <v>42</v>
      </c>
      <c r="I44" s="74">
        <v>157</v>
      </c>
      <c r="J44" s="74">
        <v>121</v>
      </c>
      <c r="K44" s="184">
        <f t="shared" si="5"/>
        <v>21</v>
      </c>
      <c r="L44" s="84">
        <f t="shared" si="6"/>
        <v>299</v>
      </c>
      <c r="M44" s="54"/>
    </row>
    <row r="45" spans="4:13" ht="15.75" customHeight="1" x14ac:dyDescent="0.25">
      <c r="D45" s="63">
        <v>37</v>
      </c>
      <c r="E45" s="53" t="s">
        <v>32</v>
      </c>
      <c r="F45" s="74" t="s">
        <v>39</v>
      </c>
      <c r="G45" t="s">
        <v>54</v>
      </c>
      <c r="H45" s="67" t="s">
        <v>43</v>
      </c>
      <c r="I45" s="74">
        <v>157</v>
      </c>
      <c r="J45" s="74">
        <v>112</v>
      </c>
      <c r="K45" s="184">
        <f t="shared" si="5"/>
        <v>30</v>
      </c>
      <c r="L45" s="84">
        <f t="shared" si="6"/>
        <v>299</v>
      </c>
      <c r="M45" s="54"/>
    </row>
    <row r="46" spans="4:13" ht="15.75" customHeight="1" x14ac:dyDescent="0.25">
      <c r="D46" s="63">
        <v>38</v>
      </c>
      <c r="E46" s="53" t="s">
        <v>32</v>
      </c>
      <c r="F46" s="74" t="s">
        <v>39</v>
      </c>
      <c r="G46" t="s">
        <v>54</v>
      </c>
      <c r="H46" s="67" t="s">
        <v>44</v>
      </c>
      <c r="I46" s="74">
        <v>157</v>
      </c>
      <c r="J46" s="74">
        <v>100</v>
      </c>
      <c r="K46" s="184">
        <f t="shared" si="5"/>
        <v>42</v>
      </c>
      <c r="L46" s="84">
        <f t="shared" si="6"/>
        <v>299</v>
      </c>
      <c r="M46" s="54"/>
    </row>
    <row r="47" spans="4:13" ht="15.75" customHeight="1" x14ac:dyDescent="0.25">
      <c r="D47" s="63">
        <v>39</v>
      </c>
      <c r="E47" s="53" t="s">
        <v>32</v>
      </c>
      <c r="F47" s="74" t="s">
        <v>39</v>
      </c>
      <c r="G47" t="s">
        <v>54</v>
      </c>
      <c r="H47" s="67" t="s">
        <v>25</v>
      </c>
      <c r="I47" s="74">
        <v>157</v>
      </c>
      <c r="J47" s="74">
        <v>91</v>
      </c>
      <c r="K47" s="184">
        <f t="shared" si="5"/>
        <v>51</v>
      </c>
      <c r="L47" s="84">
        <f t="shared" si="6"/>
        <v>299</v>
      </c>
      <c r="M47" s="54"/>
    </row>
    <row r="48" spans="4:13" ht="15.75" customHeight="1" x14ac:dyDescent="0.25">
      <c r="D48" s="63">
        <v>40</v>
      </c>
      <c r="E48" s="53" t="s">
        <v>32</v>
      </c>
      <c r="F48" s="74" t="s">
        <v>39</v>
      </c>
      <c r="G48" t="s">
        <v>54</v>
      </c>
      <c r="H48" s="67" t="s">
        <v>26</v>
      </c>
      <c r="I48" s="74">
        <v>157</v>
      </c>
      <c r="J48" s="74">
        <v>83</v>
      </c>
      <c r="K48" s="184">
        <f t="shared" si="5"/>
        <v>59</v>
      </c>
      <c r="L48" s="84">
        <f t="shared" si="6"/>
        <v>299</v>
      </c>
      <c r="M48" s="54"/>
    </row>
    <row r="49" spans="4:13" ht="15.75" customHeight="1" x14ac:dyDescent="0.25">
      <c r="D49" s="63">
        <v>41</v>
      </c>
      <c r="E49" s="53" t="s">
        <v>32</v>
      </c>
      <c r="F49" s="74" t="s">
        <v>39</v>
      </c>
      <c r="G49" t="s">
        <v>54</v>
      </c>
      <c r="H49" s="67" t="s">
        <v>27</v>
      </c>
      <c r="I49" s="74">
        <v>157</v>
      </c>
      <c r="J49" s="74">
        <v>70</v>
      </c>
      <c r="K49" s="184">
        <f t="shared" si="5"/>
        <v>72</v>
      </c>
      <c r="L49" s="84">
        <f t="shared" si="6"/>
        <v>299</v>
      </c>
      <c r="M49" s="54"/>
    </row>
    <row r="50" spans="4:13" ht="15.75" customHeight="1" thickBot="1" x14ac:dyDescent="0.3">
      <c r="D50" s="63">
        <v>42</v>
      </c>
      <c r="E50" s="56" t="s">
        <v>32</v>
      </c>
      <c r="F50" s="75" t="s">
        <v>39</v>
      </c>
      <c r="G50" s="69" t="s">
        <v>54</v>
      </c>
      <c r="H50" s="70" t="s">
        <v>28</v>
      </c>
      <c r="I50" s="75">
        <v>157</v>
      </c>
      <c r="J50" s="75">
        <v>62</v>
      </c>
      <c r="K50" s="185">
        <f t="shared" si="5"/>
        <v>80</v>
      </c>
      <c r="L50" s="85">
        <f t="shared" si="6"/>
        <v>299</v>
      </c>
      <c r="M50" s="54"/>
    </row>
    <row r="51" spans="4:13" ht="15.75" customHeight="1" x14ac:dyDescent="0.25">
      <c r="E51" s="211" t="s">
        <v>36</v>
      </c>
      <c r="F51" s="212"/>
      <c r="G51" s="212"/>
      <c r="H51" s="212"/>
      <c r="I51" s="212"/>
      <c r="J51" s="212"/>
      <c r="K51" s="183">
        <f>I52-G4</f>
        <v>123</v>
      </c>
      <c r="L51" s="83" t="s">
        <v>31</v>
      </c>
      <c r="M51" s="54"/>
    </row>
    <row r="52" spans="4:13" ht="15.75" customHeight="1" x14ac:dyDescent="0.25">
      <c r="D52" s="63">
        <v>43</v>
      </c>
      <c r="E52" s="55" t="s">
        <v>30</v>
      </c>
      <c r="F52" s="74" t="s">
        <v>40</v>
      </c>
      <c r="G52" t="s">
        <v>54</v>
      </c>
      <c r="H52" s="67" t="s">
        <v>41</v>
      </c>
      <c r="I52" s="74">
        <v>138</v>
      </c>
      <c r="J52" s="74">
        <v>129</v>
      </c>
      <c r="K52" s="184">
        <f t="shared" ref="K52:K59" si="7">K$51-J52</f>
        <v>-6</v>
      </c>
      <c r="L52" s="84">
        <f>I52+J52</f>
        <v>267</v>
      </c>
      <c r="M52" s="54"/>
    </row>
    <row r="53" spans="4:13" ht="15.75" customHeight="1" x14ac:dyDescent="0.25">
      <c r="D53" s="63">
        <v>44</v>
      </c>
      <c r="E53" s="55" t="s">
        <v>30</v>
      </c>
      <c r="F53" s="74" t="s">
        <v>40</v>
      </c>
      <c r="G53" t="s">
        <v>54</v>
      </c>
      <c r="H53" s="67" t="s">
        <v>42</v>
      </c>
      <c r="I53" s="74">
        <v>138</v>
      </c>
      <c r="J53" s="74">
        <v>121</v>
      </c>
      <c r="K53" s="184">
        <f t="shared" si="7"/>
        <v>2</v>
      </c>
      <c r="L53" s="84">
        <f t="shared" ref="L53:L59" si="8">I53+J53+K53</f>
        <v>261</v>
      </c>
      <c r="M53" s="54"/>
    </row>
    <row r="54" spans="4:13" ht="15.75" customHeight="1" x14ac:dyDescent="0.25">
      <c r="D54" s="63">
        <v>45</v>
      </c>
      <c r="E54" s="55" t="s">
        <v>30</v>
      </c>
      <c r="F54" s="74" t="s">
        <v>40</v>
      </c>
      <c r="G54" t="s">
        <v>54</v>
      </c>
      <c r="H54" s="67" t="s">
        <v>43</v>
      </c>
      <c r="I54" s="74">
        <v>138</v>
      </c>
      <c r="J54" s="74">
        <v>112</v>
      </c>
      <c r="K54" s="184">
        <f t="shared" si="7"/>
        <v>11</v>
      </c>
      <c r="L54" s="84">
        <f t="shared" si="8"/>
        <v>261</v>
      </c>
      <c r="M54" s="54"/>
    </row>
    <row r="55" spans="4:13" ht="15.75" customHeight="1" x14ac:dyDescent="0.25">
      <c r="D55" s="63">
        <v>46</v>
      </c>
      <c r="E55" s="53" t="s">
        <v>32</v>
      </c>
      <c r="F55" s="74" t="s">
        <v>40</v>
      </c>
      <c r="G55" t="s">
        <v>54</v>
      </c>
      <c r="H55" s="67" t="s">
        <v>44</v>
      </c>
      <c r="I55" s="74">
        <v>138</v>
      </c>
      <c r="J55" s="74">
        <v>100</v>
      </c>
      <c r="K55" s="184">
        <f t="shared" si="7"/>
        <v>23</v>
      </c>
      <c r="L55" s="84">
        <f t="shared" si="8"/>
        <v>261</v>
      </c>
      <c r="M55" s="54"/>
    </row>
    <row r="56" spans="4:13" ht="15.75" customHeight="1" x14ac:dyDescent="0.25">
      <c r="D56" s="63">
        <v>47</v>
      </c>
      <c r="E56" s="53" t="s">
        <v>32</v>
      </c>
      <c r="F56" s="74" t="s">
        <v>40</v>
      </c>
      <c r="G56" t="s">
        <v>54</v>
      </c>
      <c r="H56" s="67" t="s">
        <v>25</v>
      </c>
      <c r="I56" s="74">
        <v>138</v>
      </c>
      <c r="J56" s="74">
        <v>91</v>
      </c>
      <c r="K56" s="184">
        <f t="shared" si="7"/>
        <v>32</v>
      </c>
      <c r="L56" s="84">
        <f t="shared" si="8"/>
        <v>261</v>
      </c>
      <c r="M56" s="54"/>
    </row>
    <row r="57" spans="4:13" ht="15.75" customHeight="1" x14ac:dyDescent="0.25">
      <c r="D57" s="63">
        <v>48</v>
      </c>
      <c r="E57" s="53" t="s">
        <v>32</v>
      </c>
      <c r="F57" s="74" t="s">
        <v>40</v>
      </c>
      <c r="G57" t="s">
        <v>54</v>
      </c>
      <c r="H57" s="67" t="s">
        <v>26</v>
      </c>
      <c r="I57" s="74">
        <v>138</v>
      </c>
      <c r="J57" s="74">
        <v>83</v>
      </c>
      <c r="K57" s="184">
        <f t="shared" si="7"/>
        <v>40</v>
      </c>
      <c r="L57" s="84">
        <f t="shared" si="8"/>
        <v>261</v>
      </c>
      <c r="M57" s="54"/>
    </row>
    <row r="58" spans="4:13" ht="15.75" customHeight="1" x14ac:dyDescent="0.25">
      <c r="D58" s="63">
        <v>49</v>
      </c>
      <c r="E58" s="53" t="s">
        <v>32</v>
      </c>
      <c r="F58" s="74" t="s">
        <v>40</v>
      </c>
      <c r="G58" t="s">
        <v>54</v>
      </c>
      <c r="H58" s="67" t="s">
        <v>27</v>
      </c>
      <c r="I58" s="74">
        <v>138</v>
      </c>
      <c r="J58" s="74">
        <v>70</v>
      </c>
      <c r="K58" s="184">
        <f t="shared" si="7"/>
        <v>53</v>
      </c>
      <c r="L58" s="84">
        <f t="shared" si="8"/>
        <v>261</v>
      </c>
    </row>
    <row r="59" spans="4:13" ht="15.75" customHeight="1" thickBot="1" x14ac:dyDescent="0.3">
      <c r="D59" s="63">
        <v>50</v>
      </c>
      <c r="E59" s="56" t="s">
        <v>32</v>
      </c>
      <c r="F59" s="75" t="s">
        <v>40</v>
      </c>
      <c r="G59" s="69" t="s">
        <v>54</v>
      </c>
      <c r="H59" s="70" t="s">
        <v>28</v>
      </c>
      <c r="I59" s="75">
        <v>138</v>
      </c>
      <c r="J59" s="75">
        <v>62</v>
      </c>
      <c r="K59" s="185">
        <f t="shared" si="7"/>
        <v>61</v>
      </c>
      <c r="L59" s="85">
        <f t="shared" si="8"/>
        <v>261</v>
      </c>
    </row>
    <row r="60" spans="4:13" ht="15.75" customHeight="1" x14ac:dyDescent="0.25">
      <c r="E60" s="211" t="s">
        <v>36</v>
      </c>
      <c r="F60" s="212"/>
      <c r="G60" s="212"/>
      <c r="H60" s="212"/>
      <c r="I60" s="212"/>
      <c r="J60" s="212"/>
      <c r="K60" s="183">
        <f>I61-G4</f>
        <v>114</v>
      </c>
      <c r="L60" s="83" t="s">
        <v>31</v>
      </c>
    </row>
    <row r="61" spans="4:13" ht="14.25" customHeight="1" x14ac:dyDescent="0.25">
      <c r="D61" s="63">
        <v>51</v>
      </c>
      <c r="E61" s="55" t="s">
        <v>30</v>
      </c>
      <c r="F61" s="74" t="s">
        <v>41</v>
      </c>
      <c r="G61" t="s">
        <v>54</v>
      </c>
      <c r="H61" s="67" t="s">
        <v>42</v>
      </c>
      <c r="I61" s="74">
        <v>129</v>
      </c>
      <c r="J61" s="74">
        <v>121</v>
      </c>
      <c r="K61" s="184">
        <f t="shared" ref="K61:K67" si="9">K$60-J61</f>
        <v>-7</v>
      </c>
      <c r="L61" s="84">
        <f>I61+J61</f>
        <v>250</v>
      </c>
    </row>
    <row r="62" spans="4:13" x14ac:dyDescent="0.25">
      <c r="D62" s="63">
        <v>52</v>
      </c>
      <c r="E62" s="55" t="s">
        <v>30</v>
      </c>
      <c r="F62" s="74" t="s">
        <v>41</v>
      </c>
      <c r="G62" t="s">
        <v>54</v>
      </c>
      <c r="H62" s="67" t="s">
        <v>43</v>
      </c>
      <c r="I62" s="74">
        <v>129</v>
      </c>
      <c r="J62" s="74">
        <v>112</v>
      </c>
      <c r="K62" s="184">
        <f t="shared" si="9"/>
        <v>2</v>
      </c>
      <c r="L62" s="84">
        <f>I62+J62</f>
        <v>241</v>
      </c>
    </row>
    <row r="63" spans="4:13" x14ac:dyDescent="0.25">
      <c r="D63" s="63">
        <v>53</v>
      </c>
      <c r="E63" s="55" t="s">
        <v>30</v>
      </c>
      <c r="F63" s="74" t="s">
        <v>41</v>
      </c>
      <c r="G63" t="s">
        <v>54</v>
      </c>
      <c r="H63" s="67" t="s">
        <v>44</v>
      </c>
      <c r="I63" s="74">
        <v>129</v>
      </c>
      <c r="J63" s="74">
        <v>100</v>
      </c>
      <c r="K63" s="184">
        <f t="shared" si="9"/>
        <v>14</v>
      </c>
      <c r="L63" s="84">
        <f>I63+J63+K63</f>
        <v>243</v>
      </c>
    </row>
    <row r="64" spans="4:13" x14ac:dyDescent="0.25">
      <c r="D64" s="63">
        <v>54</v>
      </c>
      <c r="E64" s="53" t="s">
        <v>32</v>
      </c>
      <c r="F64" s="74" t="s">
        <v>41</v>
      </c>
      <c r="G64" t="s">
        <v>54</v>
      </c>
      <c r="H64" s="67" t="s">
        <v>25</v>
      </c>
      <c r="I64" s="74">
        <v>129</v>
      </c>
      <c r="J64" s="74">
        <v>91</v>
      </c>
      <c r="K64" s="184">
        <f t="shared" si="9"/>
        <v>23</v>
      </c>
      <c r="L64" s="84">
        <f>I64+J64+K64</f>
        <v>243</v>
      </c>
    </row>
    <row r="65" spans="4:12" x14ac:dyDescent="0.25">
      <c r="D65" s="63">
        <v>55</v>
      </c>
      <c r="E65" s="53" t="s">
        <v>32</v>
      </c>
      <c r="F65" s="74" t="s">
        <v>41</v>
      </c>
      <c r="G65" t="s">
        <v>54</v>
      </c>
      <c r="H65" s="67" t="s">
        <v>26</v>
      </c>
      <c r="I65" s="74">
        <v>129</v>
      </c>
      <c r="J65" s="74">
        <v>83</v>
      </c>
      <c r="K65" s="184">
        <f t="shared" si="9"/>
        <v>31</v>
      </c>
      <c r="L65" s="84">
        <f>I65+J65+K65</f>
        <v>243</v>
      </c>
    </row>
    <row r="66" spans="4:12" x14ac:dyDescent="0.25">
      <c r="D66" s="63">
        <v>56</v>
      </c>
      <c r="E66" s="53" t="s">
        <v>32</v>
      </c>
      <c r="F66" s="74" t="s">
        <v>41</v>
      </c>
      <c r="G66" t="s">
        <v>54</v>
      </c>
      <c r="H66" s="67" t="s">
        <v>27</v>
      </c>
      <c r="I66" s="74">
        <v>129</v>
      </c>
      <c r="J66" s="74">
        <v>70</v>
      </c>
      <c r="K66" s="184">
        <f t="shared" si="9"/>
        <v>44</v>
      </c>
      <c r="L66" s="84">
        <f>I66+J66+K66</f>
        <v>243</v>
      </c>
    </row>
    <row r="67" spans="4:12" ht="15.75" thickBot="1" x14ac:dyDescent="0.3">
      <c r="D67" s="63">
        <v>57</v>
      </c>
      <c r="E67" s="56" t="s">
        <v>32</v>
      </c>
      <c r="F67" s="75" t="s">
        <v>41</v>
      </c>
      <c r="G67" s="69" t="s">
        <v>54</v>
      </c>
      <c r="H67" s="70" t="s">
        <v>28</v>
      </c>
      <c r="I67" s="75">
        <v>129</v>
      </c>
      <c r="J67" s="75">
        <v>62</v>
      </c>
      <c r="K67" s="185">
        <f t="shared" si="9"/>
        <v>52</v>
      </c>
      <c r="L67" s="85">
        <f>I67+J67+K67</f>
        <v>243</v>
      </c>
    </row>
    <row r="68" spans="4:12" x14ac:dyDescent="0.25">
      <c r="E68" s="211" t="s">
        <v>36</v>
      </c>
      <c r="F68" s="212"/>
      <c r="G68" s="212"/>
      <c r="H68" s="212"/>
      <c r="I68" s="212"/>
      <c r="J68" s="212"/>
      <c r="K68" s="183">
        <f>I69-G4</f>
        <v>106</v>
      </c>
      <c r="L68" s="83" t="s">
        <v>31</v>
      </c>
    </row>
    <row r="69" spans="4:12" x14ac:dyDescent="0.25">
      <c r="D69" s="63">
        <v>58</v>
      </c>
      <c r="E69" s="55" t="s">
        <v>30</v>
      </c>
      <c r="F69" s="74" t="s">
        <v>42</v>
      </c>
      <c r="G69" t="s">
        <v>54</v>
      </c>
      <c r="H69" s="67" t="s">
        <v>43</v>
      </c>
      <c r="I69" s="74">
        <v>121</v>
      </c>
      <c r="J69" s="74">
        <v>112</v>
      </c>
      <c r="K69" s="184">
        <f t="shared" ref="K69:K74" si="10">K$68-J69</f>
        <v>-6</v>
      </c>
      <c r="L69" s="84">
        <f>I69+J69</f>
        <v>233</v>
      </c>
    </row>
    <row r="70" spans="4:12" x14ac:dyDescent="0.25">
      <c r="D70" s="63">
        <v>59</v>
      </c>
      <c r="E70" s="55" t="s">
        <v>30</v>
      </c>
      <c r="F70" s="74" t="s">
        <v>42</v>
      </c>
      <c r="G70" t="s">
        <v>54</v>
      </c>
      <c r="H70" s="67" t="s">
        <v>44</v>
      </c>
      <c r="I70" s="74">
        <v>121</v>
      </c>
      <c r="J70" s="74">
        <v>100</v>
      </c>
      <c r="K70" s="184">
        <f t="shared" si="10"/>
        <v>6</v>
      </c>
      <c r="L70" s="84">
        <f>I70+J70+K70</f>
        <v>227</v>
      </c>
    </row>
    <row r="71" spans="4:12" x14ac:dyDescent="0.25">
      <c r="D71" s="63">
        <v>60</v>
      </c>
      <c r="E71" s="55" t="s">
        <v>30</v>
      </c>
      <c r="F71" s="74" t="s">
        <v>42</v>
      </c>
      <c r="G71" t="s">
        <v>54</v>
      </c>
      <c r="H71" s="67" t="s">
        <v>25</v>
      </c>
      <c r="I71" s="74">
        <v>121</v>
      </c>
      <c r="J71" s="74">
        <v>91</v>
      </c>
      <c r="K71" s="184">
        <f t="shared" si="10"/>
        <v>15</v>
      </c>
      <c r="L71" s="84">
        <f>I71+J71+K71</f>
        <v>227</v>
      </c>
    </row>
    <row r="72" spans="4:12" x14ac:dyDescent="0.25">
      <c r="D72" s="63">
        <v>61</v>
      </c>
      <c r="E72" s="53" t="s">
        <v>32</v>
      </c>
      <c r="F72" s="74" t="s">
        <v>42</v>
      </c>
      <c r="G72" t="s">
        <v>54</v>
      </c>
      <c r="H72" s="67" t="s">
        <v>26</v>
      </c>
      <c r="I72" s="74">
        <v>121</v>
      </c>
      <c r="J72" s="74">
        <v>83</v>
      </c>
      <c r="K72" s="184">
        <f t="shared" si="10"/>
        <v>23</v>
      </c>
      <c r="L72" s="84">
        <f>I72+J72+K72</f>
        <v>227</v>
      </c>
    </row>
    <row r="73" spans="4:12" x14ac:dyDescent="0.25">
      <c r="D73" s="63">
        <v>62</v>
      </c>
      <c r="E73" s="53" t="s">
        <v>32</v>
      </c>
      <c r="F73" s="74" t="s">
        <v>42</v>
      </c>
      <c r="G73" t="s">
        <v>54</v>
      </c>
      <c r="H73" s="67" t="s">
        <v>27</v>
      </c>
      <c r="I73" s="74">
        <v>121</v>
      </c>
      <c r="J73" s="74">
        <v>70</v>
      </c>
      <c r="K73" s="184">
        <f t="shared" si="10"/>
        <v>36</v>
      </c>
      <c r="L73" s="84">
        <f>I73+J73+K73</f>
        <v>227</v>
      </c>
    </row>
    <row r="74" spans="4:12" ht="15.75" thickBot="1" x14ac:dyDescent="0.3">
      <c r="D74" s="63">
        <v>63</v>
      </c>
      <c r="E74" s="56" t="s">
        <v>32</v>
      </c>
      <c r="F74" s="75" t="s">
        <v>42</v>
      </c>
      <c r="G74" s="69" t="s">
        <v>54</v>
      </c>
      <c r="H74" s="70" t="s">
        <v>28</v>
      </c>
      <c r="I74" s="75">
        <v>121</v>
      </c>
      <c r="J74" s="75">
        <v>62</v>
      </c>
      <c r="K74" s="185">
        <f t="shared" si="10"/>
        <v>44</v>
      </c>
      <c r="L74" s="85">
        <f>I74+J74+K74</f>
        <v>227</v>
      </c>
    </row>
    <row r="75" spans="4:12" x14ac:dyDescent="0.25">
      <c r="E75" s="211" t="s">
        <v>36</v>
      </c>
      <c r="F75" s="212"/>
      <c r="G75" s="212"/>
      <c r="H75" s="212"/>
      <c r="I75" s="212"/>
      <c r="J75" s="212"/>
      <c r="K75" s="183">
        <f>I76-G4</f>
        <v>97</v>
      </c>
      <c r="L75" s="83" t="s">
        <v>31</v>
      </c>
    </row>
    <row r="76" spans="4:12" x14ac:dyDescent="0.25">
      <c r="D76" s="63">
        <v>64</v>
      </c>
      <c r="E76" s="55" t="s">
        <v>30</v>
      </c>
      <c r="F76" s="74" t="s">
        <v>43</v>
      </c>
      <c r="G76" t="s">
        <v>54</v>
      </c>
      <c r="H76" s="67" t="s">
        <v>44</v>
      </c>
      <c r="I76" s="74">
        <v>112</v>
      </c>
      <c r="J76" s="74">
        <v>100</v>
      </c>
      <c r="K76" s="184">
        <f>K$75-J76</f>
        <v>-3</v>
      </c>
      <c r="L76" s="84">
        <f>I76+J76</f>
        <v>212</v>
      </c>
    </row>
    <row r="77" spans="4:12" x14ac:dyDescent="0.25">
      <c r="D77" s="63">
        <v>65</v>
      </c>
      <c r="E77" s="55" t="s">
        <v>30</v>
      </c>
      <c r="F77" s="74" t="s">
        <v>43</v>
      </c>
      <c r="G77" t="s">
        <v>54</v>
      </c>
      <c r="H77" s="67" t="s">
        <v>25</v>
      </c>
      <c r="I77" s="74">
        <v>112</v>
      </c>
      <c r="J77" s="74">
        <v>91</v>
      </c>
      <c r="K77" s="184">
        <f>K$75-J77</f>
        <v>6</v>
      </c>
      <c r="L77" s="84">
        <f>I77+J77+K77</f>
        <v>209</v>
      </c>
    </row>
    <row r="78" spans="4:12" x14ac:dyDescent="0.25">
      <c r="D78" s="63">
        <v>66</v>
      </c>
      <c r="E78" s="55" t="s">
        <v>30</v>
      </c>
      <c r="F78" s="74" t="s">
        <v>43</v>
      </c>
      <c r="G78" t="s">
        <v>54</v>
      </c>
      <c r="H78" s="67" t="s">
        <v>26</v>
      </c>
      <c r="I78" s="74">
        <v>112</v>
      </c>
      <c r="J78" s="74">
        <v>83</v>
      </c>
      <c r="K78" s="184">
        <f>K$75-J78</f>
        <v>14</v>
      </c>
      <c r="L78" s="84">
        <f>I78+J78+K78</f>
        <v>209</v>
      </c>
    </row>
    <row r="79" spans="4:12" x14ac:dyDescent="0.25">
      <c r="D79" s="63">
        <v>67</v>
      </c>
      <c r="E79" s="53" t="s">
        <v>32</v>
      </c>
      <c r="F79" s="74" t="s">
        <v>43</v>
      </c>
      <c r="G79" t="s">
        <v>54</v>
      </c>
      <c r="H79" s="67" t="s">
        <v>27</v>
      </c>
      <c r="I79" s="74">
        <v>112</v>
      </c>
      <c r="J79" s="74">
        <v>70</v>
      </c>
      <c r="K79" s="184">
        <f>K$75-J79</f>
        <v>27</v>
      </c>
      <c r="L79" s="84">
        <f>I79+J79+K79</f>
        <v>209</v>
      </c>
    </row>
    <row r="80" spans="4:12" ht="15.75" thickBot="1" x14ac:dyDescent="0.3">
      <c r="D80" s="63">
        <v>68</v>
      </c>
      <c r="E80" s="56" t="s">
        <v>32</v>
      </c>
      <c r="F80" s="75" t="s">
        <v>43</v>
      </c>
      <c r="G80" s="69" t="s">
        <v>54</v>
      </c>
      <c r="H80" s="70" t="s">
        <v>28</v>
      </c>
      <c r="I80" s="75">
        <v>112</v>
      </c>
      <c r="J80" s="75">
        <v>62</v>
      </c>
      <c r="K80" s="185">
        <f>K$75-J80</f>
        <v>35</v>
      </c>
      <c r="L80" s="85">
        <f>I80+J80+K80</f>
        <v>209</v>
      </c>
    </row>
    <row r="81" spans="4:12" x14ac:dyDescent="0.25">
      <c r="E81" s="211" t="s">
        <v>36</v>
      </c>
      <c r="F81" s="212"/>
      <c r="G81" s="212"/>
      <c r="H81" s="212"/>
      <c r="I81" s="212"/>
      <c r="J81" s="212"/>
      <c r="K81" s="183">
        <f>I82-G4</f>
        <v>85</v>
      </c>
      <c r="L81" s="83" t="s">
        <v>31</v>
      </c>
    </row>
    <row r="82" spans="4:12" x14ac:dyDescent="0.25">
      <c r="D82" s="63">
        <v>69</v>
      </c>
      <c r="E82" s="55" t="s">
        <v>30</v>
      </c>
      <c r="F82" s="74" t="s">
        <v>44</v>
      </c>
      <c r="G82" t="s">
        <v>54</v>
      </c>
      <c r="H82" s="67" t="s">
        <v>25</v>
      </c>
      <c r="I82" s="74">
        <v>100</v>
      </c>
      <c r="J82" s="74">
        <v>91</v>
      </c>
      <c r="K82" s="184">
        <f>K$81-J82</f>
        <v>-6</v>
      </c>
      <c r="L82" s="84">
        <f>I82+J82</f>
        <v>191</v>
      </c>
    </row>
    <row r="83" spans="4:12" x14ac:dyDescent="0.25">
      <c r="D83" s="63">
        <v>70</v>
      </c>
      <c r="E83" s="55" t="s">
        <v>30</v>
      </c>
      <c r="F83" s="74" t="s">
        <v>44</v>
      </c>
      <c r="G83" t="s">
        <v>54</v>
      </c>
      <c r="H83" s="67" t="s">
        <v>26</v>
      </c>
      <c r="I83" s="74">
        <v>100</v>
      </c>
      <c r="J83" s="74">
        <v>83</v>
      </c>
      <c r="K83" s="184">
        <f>K$81-J83</f>
        <v>2</v>
      </c>
      <c r="L83" s="84">
        <f>I83+J83+K83</f>
        <v>185</v>
      </c>
    </row>
    <row r="84" spans="4:12" x14ac:dyDescent="0.25">
      <c r="D84" s="63">
        <v>71</v>
      </c>
      <c r="E84" s="55" t="s">
        <v>30</v>
      </c>
      <c r="F84" s="74" t="s">
        <v>44</v>
      </c>
      <c r="G84" t="s">
        <v>54</v>
      </c>
      <c r="H84" s="67" t="s">
        <v>27</v>
      </c>
      <c r="I84" s="74">
        <v>100</v>
      </c>
      <c r="J84" s="74">
        <v>70</v>
      </c>
      <c r="K84" s="184">
        <f>K$81-J84</f>
        <v>15</v>
      </c>
      <c r="L84" s="84">
        <f>I84+J84+K84</f>
        <v>185</v>
      </c>
    </row>
    <row r="85" spans="4:12" ht="15.75" thickBot="1" x14ac:dyDescent="0.3">
      <c r="D85" s="63">
        <v>72</v>
      </c>
      <c r="E85" s="56" t="s">
        <v>32</v>
      </c>
      <c r="F85" s="75" t="s">
        <v>44</v>
      </c>
      <c r="G85" s="69" t="s">
        <v>54</v>
      </c>
      <c r="H85" s="70" t="s">
        <v>28</v>
      </c>
      <c r="I85" s="75">
        <v>100</v>
      </c>
      <c r="J85" s="75">
        <v>62</v>
      </c>
      <c r="K85" s="185">
        <f>K$81-J85</f>
        <v>23</v>
      </c>
      <c r="L85" s="85">
        <f>I85+J85+K85</f>
        <v>185</v>
      </c>
    </row>
    <row r="86" spans="4:12" x14ac:dyDescent="0.25">
      <c r="E86" s="211" t="s">
        <v>36</v>
      </c>
      <c r="F86" s="212"/>
      <c r="G86" s="212"/>
      <c r="H86" s="212"/>
      <c r="I86" s="212"/>
      <c r="J86" s="212"/>
      <c r="K86" s="183">
        <f>I87-G4</f>
        <v>76</v>
      </c>
      <c r="L86" s="83" t="s">
        <v>31</v>
      </c>
    </row>
    <row r="87" spans="4:12" x14ac:dyDescent="0.25">
      <c r="D87" s="63">
        <v>73</v>
      </c>
      <c r="E87" s="55" t="s">
        <v>30</v>
      </c>
      <c r="F87" s="74" t="s">
        <v>25</v>
      </c>
      <c r="G87" t="s">
        <v>54</v>
      </c>
      <c r="H87" s="67" t="s">
        <v>26</v>
      </c>
      <c r="I87" s="74">
        <v>91</v>
      </c>
      <c r="J87" s="74">
        <v>83</v>
      </c>
      <c r="K87" s="184">
        <f>K$86-J87</f>
        <v>-7</v>
      </c>
      <c r="L87" s="84">
        <f>I87+J87</f>
        <v>174</v>
      </c>
    </row>
    <row r="88" spans="4:12" x14ac:dyDescent="0.25">
      <c r="D88" s="63">
        <v>74</v>
      </c>
      <c r="E88" s="55" t="s">
        <v>30</v>
      </c>
      <c r="F88" s="74" t="s">
        <v>25</v>
      </c>
      <c r="G88" t="s">
        <v>54</v>
      </c>
      <c r="H88" s="67" t="s">
        <v>27</v>
      </c>
      <c r="I88" s="74">
        <v>91</v>
      </c>
      <c r="J88" s="74">
        <v>70</v>
      </c>
      <c r="K88" s="184">
        <f>K$86-J88</f>
        <v>6</v>
      </c>
      <c r="L88" s="84">
        <f>I88+J88</f>
        <v>161</v>
      </c>
    </row>
    <row r="89" spans="4:12" ht="15.75" thickBot="1" x14ac:dyDescent="0.3">
      <c r="D89" s="63">
        <v>75</v>
      </c>
      <c r="E89" s="55" t="s">
        <v>30</v>
      </c>
      <c r="F89" s="74" t="s">
        <v>25</v>
      </c>
      <c r="G89" s="69" t="s">
        <v>54</v>
      </c>
      <c r="H89" s="70" t="s">
        <v>28</v>
      </c>
      <c r="I89" s="75">
        <v>91</v>
      </c>
      <c r="J89" s="74">
        <v>62</v>
      </c>
      <c r="K89" s="184">
        <f>K$86-J89</f>
        <v>14</v>
      </c>
      <c r="L89" s="84">
        <f>I89+J89+K89</f>
        <v>167</v>
      </c>
    </row>
    <row r="90" spans="4:12" x14ac:dyDescent="0.25">
      <c r="E90" s="211" t="s">
        <v>36</v>
      </c>
      <c r="F90" s="212"/>
      <c r="G90" s="212"/>
      <c r="H90" s="212"/>
      <c r="I90" s="212"/>
      <c r="J90" s="212"/>
      <c r="K90" s="183">
        <f>I91-G4</f>
        <v>68</v>
      </c>
      <c r="L90" s="83" t="s">
        <v>31</v>
      </c>
    </row>
    <row r="91" spans="4:12" x14ac:dyDescent="0.25">
      <c r="D91" s="63">
        <v>76</v>
      </c>
      <c r="E91" s="55" t="s">
        <v>30</v>
      </c>
      <c r="F91" s="74" t="s">
        <v>26</v>
      </c>
      <c r="G91" t="s">
        <v>54</v>
      </c>
      <c r="H91" s="67" t="s">
        <v>27</v>
      </c>
      <c r="I91" s="74">
        <v>83</v>
      </c>
      <c r="J91" s="74">
        <v>70</v>
      </c>
      <c r="K91" s="184">
        <f>K$90-J91</f>
        <v>-2</v>
      </c>
      <c r="L91" s="84">
        <f>I91+J91</f>
        <v>153</v>
      </c>
    </row>
    <row r="92" spans="4:12" ht="15.75" thickBot="1" x14ac:dyDescent="0.3">
      <c r="D92" s="63">
        <v>77</v>
      </c>
      <c r="E92" s="55" t="s">
        <v>30</v>
      </c>
      <c r="F92" s="74" t="s">
        <v>26</v>
      </c>
      <c r="G92" s="69" t="s">
        <v>54</v>
      </c>
      <c r="H92" s="70" t="s">
        <v>28</v>
      </c>
      <c r="I92" s="75">
        <v>83</v>
      </c>
      <c r="J92" s="74">
        <v>62</v>
      </c>
      <c r="K92" s="184">
        <f>K$90-J92</f>
        <v>6</v>
      </c>
      <c r="L92" s="84">
        <f>I92+J92+K92</f>
        <v>151</v>
      </c>
    </row>
    <row r="93" spans="4:12" x14ac:dyDescent="0.25">
      <c r="E93" s="211" t="s">
        <v>36</v>
      </c>
      <c r="F93" s="212"/>
      <c r="G93" s="212"/>
      <c r="H93" s="212"/>
      <c r="I93" s="212"/>
      <c r="J93" s="212"/>
      <c r="K93" s="183">
        <f>I94-G4</f>
        <v>55</v>
      </c>
      <c r="L93" s="83" t="s">
        <v>31</v>
      </c>
    </row>
    <row r="94" spans="4:12" ht="15.75" thickBot="1" x14ac:dyDescent="0.3">
      <c r="D94" s="63">
        <v>78</v>
      </c>
      <c r="E94" s="57" t="s">
        <v>30</v>
      </c>
      <c r="F94" s="75" t="s">
        <v>27</v>
      </c>
      <c r="G94" s="69" t="s">
        <v>54</v>
      </c>
      <c r="H94" s="70" t="s">
        <v>28</v>
      </c>
      <c r="I94" s="75">
        <v>70</v>
      </c>
      <c r="J94" s="75">
        <v>62</v>
      </c>
      <c r="K94" s="185">
        <f>K$93-J94</f>
        <v>-7</v>
      </c>
      <c r="L94" s="85">
        <f>I94+J94+K94</f>
        <v>125</v>
      </c>
    </row>
    <row r="95" spans="4:12" x14ac:dyDescent="0.25">
      <c r="D95" s="63">
        <v>79</v>
      </c>
      <c r="E95" s="58" t="s">
        <v>35</v>
      </c>
      <c r="F95" s="76" t="s">
        <v>56</v>
      </c>
      <c r="I95" s="86">
        <v>200</v>
      </c>
      <c r="J95" s="76"/>
      <c r="K95" s="186"/>
      <c r="L95" s="87">
        <v>200</v>
      </c>
    </row>
    <row r="96" spans="4:12" x14ac:dyDescent="0.25">
      <c r="D96" s="63">
        <v>80</v>
      </c>
      <c r="E96" s="59" t="s">
        <v>35</v>
      </c>
      <c r="F96" s="74" t="s">
        <v>37</v>
      </c>
      <c r="I96" s="49">
        <v>193</v>
      </c>
      <c r="J96" s="74"/>
      <c r="K96" s="184"/>
      <c r="L96" s="88">
        <v>193</v>
      </c>
    </row>
    <row r="97" spans="4:13" x14ac:dyDescent="0.25">
      <c r="D97" s="63">
        <v>81</v>
      </c>
      <c r="E97" s="59" t="s">
        <v>35</v>
      </c>
      <c r="F97" s="74" t="s">
        <v>38</v>
      </c>
      <c r="I97" s="50">
        <v>175</v>
      </c>
      <c r="J97" s="74"/>
      <c r="K97" s="184"/>
      <c r="L97" s="89">
        <v>175</v>
      </c>
    </row>
    <row r="98" spans="4:13" x14ac:dyDescent="0.25">
      <c r="D98" s="63">
        <v>82</v>
      </c>
      <c r="E98" s="59" t="s">
        <v>35</v>
      </c>
      <c r="F98" s="74" t="s">
        <v>39</v>
      </c>
      <c r="I98" s="50">
        <v>157</v>
      </c>
      <c r="J98" s="74"/>
      <c r="K98" s="184"/>
      <c r="L98" s="89">
        <v>157</v>
      </c>
    </row>
    <row r="99" spans="4:13" x14ac:dyDescent="0.25">
      <c r="D99" s="63">
        <v>83</v>
      </c>
      <c r="E99" s="59" t="s">
        <v>35</v>
      </c>
      <c r="F99" s="74" t="s">
        <v>40</v>
      </c>
      <c r="I99" s="49">
        <v>138</v>
      </c>
      <c r="J99" s="74"/>
      <c r="K99" s="184"/>
      <c r="L99" s="88">
        <v>138</v>
      </c>
    </row>
    <row r="100" spans="4:13" x14ac:dyDescent="0.25">
      <c r="D100" s="63">
        <v>84</v>
      </c>
      <c r="E100" s="59" t="s">
        <v>35</v>
      </c>
      <c r="F100" s="74" t="s">
        <v>41</v>
      </c>
      <c r="I100" s="90">
        <v>129</v>
      </c>
      <c r="J100" s="74"/>
      <c r="K100" s="184"/>
      <c r="L100" s="91">
        <v>129</v>
      </c>
    </row>
    <row r="101" spans="4:13" x14ac:dyDescent="0.25">
      <c r="D101" s="63">
        <v>85</v>
      </c>
      <c r="E101" s="59" t="s">
        <v>35</v>
      </c>
      <c r="F101" s="74" t="s">
        <v>42</v>
      </c>
      <c r="I101" s="49">
        <v>121</v>
      </c>
      <c r="J101" s="74"/>
      <c r="K101" s="184"/>
      <c r="L101" s="88">
        <v>121</v>
      </c>
    </row>
    <row r="102" spans="4:13" x14ac:dyDescent="0.25">
      <c r="D102" s="63">
        <v>86</v>
      </c>
      <c r="E102" s="59" t="s">
        <v>35</v>
      </c>
      <c r="F102" s="74" t="s">
        <v>43</v>
      </c>
      <c r="I102" s="50">
        <v>112</v>
      </c>
      <c r="J102" s="74"/>
      <c r="K102" s="184"/>
      <c r="L102" s="89">
        <v>112</v>
      </c>
    </row>
    <row r="103" spans="4:13" x14ac:dyDescent="0.25">
      <c r="D103" s="63">
        <v>87</v>
      </c>
      <c r="E103" s="59" t="s">
        <v>35</v>
      </c>
      <c r="F103" s="74" t="s">
        <v>44</v>
      </c>
      <c r="I103" s="50">
        <v>100</v>
      </c>
      <c r="J103" s="74"/>
      <c r="K103" s="184"/>
      <c r="L103" s="89">
        <v>100</v>
      </c>
    </row>
    <row r="104" spans="4:13" x14ac:dyDescent="0.25">
      <c r="D104" s="63">
        <v>88</v>
      </c>
      <c r="E104" s="59" t="s">
        <v>35</v>
      </c>
      <c r="F104" s="74" t="s">
        <v>25</v>
      </c>
      <c r="I104" s="50">
        <v>91</v>
      </c>
      <c r="J104" s="74"/>
      <c r="K104" s="184"/>
      <c r="L104" s="89">
        <v>91</v>
      </c>
    </row>
    <row r="105" spans="4:13" x14ac:dyDescent="0.25">
      <c r="D105" s="63">
        <v>89</v>
      </c>
      <c r="E105" s="59" t="s">
        <v>35</v>
      </c>
      <c r="F105" s="74" t="s">
        <v>26</v>
      </c>
      <c r="I105" s="50">
        <v>83</v>
      </c>
      <c r="J105" s="74"/>
      <c r="K105" s="184"/>
      <c r="L105" s="89">
        <v>83</v>
      </c>
    </row>
    <row r="106" spans="4:13" x14ac:dyDescent="0.25">
      <c r="D106" s="63">
        <v>90</v>
      </c>
      <c r="E106" s="59" t="s">
        <v>35</v>
      </c>
      <c r="F106" s="74" t="s">
        <v>27</v>
      </c>
      <c r="I106" s="50">
        <v>70</v>
      </c>
      <c r="J106" s="74"/>
      <c r="K106" s="184"/>
      <c r="L106" s="89">
        <v>70</v>
      </c>
    </row>
    <row r="107" spans="4:13" x14ac:dyDescent="0.25">
      <c r="D107" s="63">
        <v>91</v>
      </c>
      <c r="E107" s="59" t="s">
        <v>35</v>
      </c>
      <c r="F107" s="74" t="s">
        <v>28</v>
      </c>
      <c r="I107" s="50">
        <v>62</v>
      </c>
      <c r="J107" s="74"/>
      <c r="K107" s="184"/>
      <c r="L107" s="89">
        <v>62</v>
      </c>
      <c r="M107" s="52"/>
    </row>
    <row r="108" spans="4:13" x14ac:dyDescent="0.25">
      <c r="D108" s="63">
        <v>92</v>
      </c>
      <c r="E108" s="59" t="s">
        <v>35</v>
      </c>
      <c r="F108" s="74" t="s">
        <v>15</v>
      </c>
      <c r="I108" s="50">
        <v>28</v>
      </c>
      <c r="J108" s="74"/>
      <c r="K108" s="184"/>
      <c r="L108" s="89">
        <v>28</v>
      </c>
    </row>
    <row r="109" spans="4:13" ht="15.75" thickBot="1" x14ac:dyDescent="0.3">
      <c r="D109" s="63">
        <v>93</v>
      </c>
      <c r="E109" s="61" t="s">
        <v>33</v>
      </c>
      <c r="F109" s="77" t="s">
        <v>45</v>
      </c>
      <c r="G109" s="69"/>
      <c r="H109" s="70"/>
      <c r="I109" s="75">
        <v>33</v>
      </c>
      <c r="J109" s="92"/>
      <c r="K109" s="187"/>
      <c r="L109" s="93">
        <v>33</v>
      </c>
    </row>
    <row r="110" spans="4:13" ht="15.75" customHeight="1" x14ac:dyDescent="0.25">
      <c r="E110" s="63"/>
      <c r="F110" s="64"/>
      <c r="I110" s="64"/>
      <c r="J110" s="64"/>
      <c r="K110" s="182"/>
      <c r="L110" s="64"/>
    </row>
  </sheetData>
  <sheetProtection algorithmName="SHA-512" hashValue="xyaXIKeEJ38ogYoKgHU9cFmitfpDIQhwmbSH9pfY5LuNDhpRrb7WkwsXMDlcVj2n1Vea87PjlXoych2Skz13Gg==" saltValue="ukM1Uyhkgy4bUUJmYfQ/Tg==" spinCount="100000" sheet="1" objects="1" scenarios="1" selectLockedCells="1" selectUnlockedCells="1"/>
  <mergeCells count="13">
    <mergeCell ref="E4:F4"/>
    <mergeCell ref="E90:J90"/>
    <mergeCell ref="E93:J93"/>
    <mergeCell ref="E30:J30"/>
    <mergeCell ref="E41:J41"/>
    <mergeCell ref="E60:J60"/>
    <mergeCell ref="E75:J75"/>
    <mergeCell ref="E68:J68"/>
    <mergeCell ref="E51:J51"/>
    <mergeCell ref="E5:J5"/>
    <mergeCell ref="E18:J18"/>
    <mergeCell ref="E81:J81"/>
    <mergeCell ref="E86:J86"/>
  </mergeCell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09"/>
  <sheetViews>
    <sheetView workbookViewId="0"/>
  </sheetViews>
  <sheetFormatPr defaultRowHeight="15" x14ac:dyDescent="0.25"/>
  <cols>
    <col min="1" max="1" width="1.28515625" style="51" customWidth="1"/>
    <col min="2" max="3" width="4.140625" style="51" hidden="1" customWidth="1"/>
    <col min="4" max="4" width="3.5703125" style="63" customWidth="1"/>
    <col min="5" max="5" width="5.85546875" style="51" customWidth="1"/>
    <col min="6" max="6" width="6.7109375" style="73" customWidth="1"/>
    <col min="7" max="7" width="3" customWidth="1"/>
    <col min="8" max="8" width="6.7109375" style="67" customWidth="1"/>
    <col min="9" max="9" width="5.28515625" style="73" customWidth="1"/>
    <col min="10" max="10" width="5.140625" style="73" customWidth="1"/>
    <col min="11" max="11" width="4.42578125" style="181" customWidth="1"/>
    <col min="12" max="12" width="4.7109375" style="73" customWidth="1"/>
    <col min="13" max="13" width="3.28515625" style="51" customWidth="1"/>
    <col min="14" max="14" width="3.7109375" customWidth="1"/>
    <col min="15" max="15" width="5.85546875" customWidth="1"/>
    <col min="16" max="16" width="6.85546875" customWidth="1"/>
    <col min="17" max="17" width="3" customWidth="1"/>
    <col min="18" max="18" width="6.7109375" customWidth="1"/>
    <col min="19" max="19" width="5.28515625" customWidth="1"/>
    <col min="20" max="20" width="5.140625" customWidth="1"/>
    <col min="21" max="21" width="4.42578125" customWidth="1"/>
    <col min="22" max="22" width="4.7109375" customWidth="1"/>
    <col min="38" max="84" width="4.7109375" style="51" customWidth="1"/>
    <col min="85" max="16384" width="9.140625" style="51"/>
  </cols>
  <sheetData>
    <row r="1" spans="1:23" ht="8.25" customHeight="1" x14ac:dyDescent="0.25"/>
    <row r="2" spans="1:23" ht="15.75" customHeight="1" thickBot="1" x14ac:dyDescent="0.3">
      <c r="F2" s="78" t="s">
        <v>34</v>
      </c>
      <c r="G2" s="79">
        <f>COUNTIF(E$5:E$96,F2)</f>
        <v>28</v>
      </c>
      <c r="H2" s="78" t="s">
        <v>33</v>
      </c>
      <c r="I2" s="79">
        <f>COUNTIF(E$5:E$96,H2)</f>
        <v>17</v>
      </c>
      <c r="J2" s="80" t="s">
        <v>35</v>
      </c>
      <c r="K2" s="81">
        <f>COUNTIF(E$5:E$96,J2)</f>
        <v>0</v>
      </c>
      <c r="L2" s="182">
        <f>SUM(G2,I2,K2)</f>
        <v>45</v>
      </c>
      <c r="W2" s="54"/>
    </row>
    <row r="3" spans="1:23" ht="15.75" customHeight="1" thickBot="1" x14ac:dyDescent="0.3">
      <c r="A3" s="62"/>
      <c r="B3" s="62"/>
      <c r="E3" s="216" t="s">
        <v>64</v>
      </c>
      <c r="F3" s="216"/>
      <c r="G3" s="197">
        <v>15</v>
      </c>
      <c r="H3" s="214" t="s">
        <v>69</v>
      </c>
      <c r="I3" s="215"/>
      <c r="J3" s="198" t="s">
        <v>63</v>
      </c>
      <c r="K3" s="51"/>
      <c r="L3" s="82" t="s">
        <v>58</v>
      </c>
      <c r="N3" s="63"/>
      <c r="O3" s="211" t="s">
        <v>36</v>
      </c>
      <c r="P3" s="212"/>
      <c r="Q3" s="212"/>
      <c r="R3" s="212"/>
      <c r="S3" s="212"/>
      <c r="T3" s="212"/>
      <c r="U3" s="183">
        <f>S4-G3</f>
        <v>178</v>
      </c>
      <c r="V3" s="83" t="s">
        <v>31</v>
      </c>
      <c r="W3" s="54"/>
    </row>
    <row r="4" spans="1:23" ht="15.75" customHeight="1" x14ac:dyDescent="0.25">
      <c r="E4" s="211" t="s">
        <v>36</v>
      </c>
      <c r="F4" s="212"/>
      <c r="G4" s="212"/>
      <c r="H4" s="212"/>
      <c r="I4" s="212"/>
      <c r="J4" s="212"/>
      <c r="K4" s="183">
        <f>I5-G3</f>
        <v>185</v>
      </c>
      <c r="L4" s="83" t="s">
        <v>31</v>
      </c>
      <c r="M4" s="54"/>
      <c r="N4" s="63">
        <v>13</v>
      </c>
      <c r="O4" s="55" t="s">
        <v>30</v>
      </c>
      <c r="P4" s="74" t="s">
        <v>37</v>
      </c>
      <c r="Q4" s="68" t="s">
        <v>54</v>
      </c>
      <c r="R4" s="67" t="s">
        <v>38</v>
      </c>
      <c r="S4" s="74">
        <v>193</v>
      </c>
      <c r="T4" s="74">
        <v>175</v>
      </c>
      <c r="U4" s="184">
        <f t="shared" ref="U4:U14" si="0">U$3-T4</f>
        <v>3</v>
      </c>
      <c r="V4" s="84">
        <f>S4+T4</f>
        <v>368</v>
      </c>
      <c r="W4" s="54"/>
    </row>
    <row r="5" spans="1:23" x14ac:dyDescent="0.25">
      <c r="D5" s="63">
        <v>1</v>
      </c>
      <c r="E5" s="55" t="s">
        <v>30</v>
      </c>
      <c r="F5" s="74" t="s">
        <v>56</v>
      </c>
      <c r="G5" s="71" t="s">
        <v>54</v>
      </c>
      <c r="H5" s="72" t="s">
        <v>37</v>
      </c>
      <c r="I5" s="74">
        <v>200</v>
      </c>
      <c r="J5" s="74">
        <v>193</v>
      </c>
      <c r="K5" s="184">
        <f>I5-J5-G3</f>
        <v>-8</v>
      </c>
      <c r="L5" s="84">
        <f>I5+J5</f>
        <v>393</v>
      </c>
      <c r="M5" s="54"/>
      <c r="N5" s="63">
        <v>14</v>
      </c>
      <c r="O5" s="53" t="s">
        <v>32</v>
      </c>
      <c r="P5" s="74" t="s">
        <v>37</v>
      </c>
      <c r="Q5" s="68" t="s">
        <v>54</v>
      </c>
      <c r="R5" s="67" t="s">
        <v>39</v>
      </c>
      <c r="S5" s="74">
        <v>193</v>
      </c>
      <c r="T5" s="74">
        <v>157</v>
      </c>
      <c r="U5" s="184">
        <f t="shared" si="0"/>
        <v>21</v>
      </c>
      <c r="V5" s="84">
        <f t="shared" ref="V5:V14" si="1">S5+T5+U5</f>
        <v>371</v>
      </c>
      <c r="W5" s="54"/>
    </row>
    <row r="6" spans="1:23" x14ac:dyDescent="0.25">
      <c r="D6" s="63">
        <v>2</v>
      </c>
      <c r="E6" s="55" t="s">
        <v>30</v>
      </c>
      <c r="F6" s="74" t="s">
        <v>56</v>
      </c>
      <c r="G6" s="71" t="s">
        <v>54</v>
      </c>
      <c r="H6" s="72" t="s">
        <v>38</v>
      </c>
      <c r="I6" s="74">
        <v>200</v>
      </c>
      <c r="J6" s="74">
        <v>175</v>
      </c>
      <c r="K6" s="184">
        <f>I6-J6-G3</f>
        <v>10</v>
      </c>
      <c r="L6" s="84">
        <f t="shared" ref="L6:L16" si="2">I6+J6+K6</f>
        <v>385</v>
      </c>
      <c r="M6" s="54"/>
      <c r="N6" s="63">
        <v>15</v>
      </c>
      <c r="O6" s="53" t="s">
        <v>32</v>
      </c>
      <c r="P6" s="74" t="s">
        <v>37</v>
      </c>
      <c r="Q6" s="68" t="s">
        <v>54</v>
      </c>
      <c r="R6" s="67" t="s">
        <v>40</v>
      </c>
      <c r="S6" s="74">
        <v>193</v>
      </c>
      <c r="T6" s="74">
        <v>138</v>
      </c>
      <c r="U6" s="184">
        <f t="shared" si="0"/>
        <v>40</v>
      </c>
      <c r="V6" s="84">
        <f t="shared" si="1"/>
        <v>371</v>
      </c>
      <c r="W6" s="54"/>
    </row>
    <row r="7" spans="1:23" x14ac:dyDescent="0.25">
      <c r="D7" s="63">
        <v>3</v>
      </c>
      <c r="E7" s="53" t="s">
        <v>32</v>
      </c>
      <c r="F7" s="74" t="s">
        <v>56</v>
      </c>
      <c r="G7" s="71" t="s">
        <v>54</v>
      </c>
      <c r="H7" s="72" t="s">
        <v>39</v>
      </c>
      <c r="I7" s="74">
        <v>200</v>
      </c>
      <c r="J7" s="74">
        <v>157</v>
      </c>
      <c r="K7" s="184">
        <f>I7-J7-G3</f>
        <v>28</v>
      </c>
      <c r="L7" s="84">
        <f t="shared" si="2"/>
        <v>385</v>
      </c>
      <c r="M7" s="54"/>
      <c r="N7" s="63">
        <v>16</v>
      </c>
      <c r="O7" s="53" t="s">
        <v>32</v>
      </c>
      <c r="P7" s="74" t="s">
        <v>37</v>
      </c>
      <c r="Q7" s="68" t="s">
        <v>54</v>
      </c>
      <c r="R7" s="67" t="s">
        <v>41</v>
      </c>
      <c r="S7" s="74">
        <v>193</v>
      </c>
      <c r="T7" s="74">
        <v>129</v>
      </c>
      <c r="U7" s="184">
        <f t="shared" si="0"/>
        <v>49</v>
      </c>
      <c r="V7" s="84">
        <f t="shared" si="1"/>
        <v>371</v>
      </c>
      <c r="W7" s="54"/>
    </row>
    <row r="8" spans="1:23" x14ac:dyDescent="0.25">
      <c r="D8" s="63">
        <v>4</v>
      </c>
      <c r="E8" s="53" t="s">
        <v>32</v>
      </c>
      <c r="F8" s="74" t="s">
        <v>56</v>
      </c>
      <c r="G8" s="71" t="s">
        <v>54</v>
      </c>
      <c r="H8" s="72" t="s">
        <v>40</v>
      </c>
      <c r="I8" s="74">
        <v>200</v>
      </c>
      <c r="J8" s="74">
        <v>138</v>
      </c>
      <c r="K8" s="184">
        <f>I8-J8-G3</f>
        <v>47</v>
      </c>
      <c r="L8" s="84">
        <f t="shared" si="2"/>
        <v>385</v>
      </c>
      <c r="M8" s="54"/>
      <c r="N8" s="63">
        <v>17</v>
      </c>
      <c r="O8" s="53" t="s">
        <v>32</v>
      </c>
      <c r="P8" s="74" t="s">
        <v>37</v>
      </c>
      <c r="Q8" s="68" t="s">
        <v>54</v>
      </c>
      <c r="R8" s="67" t="s">
        <v>42</v>
      </c>
      <c r="S8" s="74">
        <v>193</v>
      </c>
      <c r="T8" s="74">
        <v>121</v>
      </c>
      <c r="U8" s="184">
        <f t="shared" si="0"/>
        <v>57</v>
      </c>
      <c r="V8" s="84">
        <f t="shared" si="1"/>
        <v>371</v>
      </c>
      <c r="W8" s="54"/>
    </row>
    <row r="9" spans="1:23" x14ac:dyDescent="0.25">
      <c r="D9" s="63">
        <v>5</v>
      </c>
      <c r="E9" s="53" t="s">
        <v>32</v>
      </c>
      <c r="F9" s="74" t="s">
        <v>56</v>
      </c>
      <c r="G9" s="71" t="s">
        <v>54</v>
      </c>
      <c r="H9" s="72" t="s">
        <v>41</v>
      </c>
      <c r="I9" s="74">
        <v>200</v>
      </c>
      <c r="J9" s="74">
        <v>129</v>
      </c>
      <c r="K9" s="184">
        <f>I9-J9-G3</f>
        <v>56</v>
      </c>
      <c r="L9" s="84">
        <f t="shared" si="2"/>
        <v>385</v>
      </c>
      <c r="M9" s="54"/>
      <c r="N9" s="63">
        <v>18</v>
      </c>
      <c r="O9" s="53" t="s">
        <v>32</v>
      </c>
      <c r="P9" s="74" t="s">
        <v>37</v>
      </c>
      <c r="Q9" s="68" t="s">
        <v>54</v>
      </c>
      <c r="R9" s="67" t="s">
        <v>43</v>
      </c>
      <c r="S9" s="74">
        <v>193</v>
      </c>
      <c r="T9" s="74">
        <v>112</v>
      </c>
      <c r="U9" s="184">
        <f t="shared" si="0"/>
        <v>66</v>
      </c>
      <c r="V9" s="84">
        <f t="shared" si="1"/>
        <v>371</v>
      </c>
      <c r="W9" s="51"/>
    </row>
    <row r="10" spans="1:23" x14ac:dyDescent="0.25">
      <c r="D10" s="63">
        <v>6</v>
      </c>
      <c r="E10" s="53" t="s">
        <v>32</v>
      </c>
      <c r="F10" s="74" t="s">
        <v>56</v>
      </c>
      <c r="G10" s="71" t="s">
        <v>54</v>
      </c>
      <c r="H10" s="72" t="s">
        <v>42</v>
      </c>
      <c r="I10" s="74">
        <v>200</v>
      </c>
      <c r="J10" s="74">
        <v>121</v>
      </c>
      <c r="K10" s="184">
        <f>I10-J10-G3</f>
        <v>64</v>
      </c>
      <c r="L10" s="84">
        <f t="shared" si="2"/>
        <v>385</v>
      </c>
      <c r="M10" s="54"/>
      <c r="N10" s="63">
        <v>19</v>
      </c>
      <c r="O10" s="53" t="s">
        <v>32</v>
      </c>
      <c r="P10" s="74" t="s">
        <v>37</v>
      </c>
      <c r="Q10" s="68" t="s">
        <v>54</v>
      </c>
      <c r="R10" s="67" t="s">
        <v>44</v>
      </c>
      <c r="S10" s="74">
        <v>193</v>
      </c>
      <c r="T10" s="74">
        <v>100</v>
      </c>
      <c r="U10" s="184">
        <f t="shared" si="0"/>
        <v>78</v>
      </c>
      <c r="V10" s="84">
        <f t="shared" si="1"/>
        <v>371</v>
      </c>
      <c r="W10" s="51"/>
    </row>
    <row r="11" spans="1:23" x14ac:dyDescent="0.25">
      <c r="D11" s="63">
        <v>7</v>
      </c>
      <c r="E11" s="53" t="s">
        <v>32</v>
      </c>
      <c r="F11" s="74" t="s">
        <v>56</v>
      </c>
      <c r="G11" s="71" t="s">
        <v>54</v>
      </c>
      <c r="H11" s="72" t="s">
        <v>43</v>
      </c>
      <c r="I11" s="74">
        <v>200</v>
      </c>
      <c r="J11" s="74">
        <v>112</v>
      </c>
      <c r="K11" s="184">
        <f>I11-J11-G3</f>
        <v>73</v>
      </c>
      <c r="L11" s="84">
        <f t="shared" si="2"/>
        <v>385</v>
      </c>
      <c r="M11" s="54"/>
      <c r="N11" s="63">
        <v>20</v>
      </c>
      <c r="O11" s="53" t="s">
        <v>32</v>
      </c>
      <c r="P11" s="74" t="s">
        <v>37</v>
      </c>
      <c r="Q11" s="68" t="s">
        <v>54</v>
      </c>
      <c r="R11" s="67" t="s">
        <v>25</v>
      </c>
      <c r="S11" s="74">
        <v>193</v>
      </c>
      <c r="T11" s="74">
        <v>91</v>
      </c>
      <c r="U11" s="184">
        <f t="shared" si="0"/>
        <v>87</v>
      </c>
      <c r="V11" s="84">
        <f t="shared" si="1"/>
        <v>371</v>
      </c>
      <c r="W11" s="51"/>
    </row>
    <row r="12" spans="1:23" x14ac:dyDescent="0.25">
      <c r="D12" s="63">
        <v>8</v>
      </c>
      <c r="E12" s="53" t="s">
        <v>32</v>
      </c>
      <c r="F12" s="74" t="s">
        <v>56</v>
      </c>
      <c r="G12" s="71" t="s">
        <v>54</v>
      </c>
      <c r="H12" s="72" t="s">
        <v>44</v>
      </c>
      <c r="I12" s="74">
        <v>200</v>
      </c>
      <c r="J12" s="74">
        <v>100</v>
      </c>
      <c r="K12" s="184">
        <f>I12-J12-G3</f>
        <v>85</v>
      </c>
      <c r="L12" s="84">
        <f t="shared" si="2"/>
        <v>385</v>
      </c>
      <c r="M12" s="54"/>
      <c r="N12" s="63">
        <v>21</v>
      </c>
      <c r="O12" s="53" t="s">
        <v>32</v>
      </c>
      <c r="P12" s="74" t="s">
        <v>37</v>
      </c>
      <c r="Q12" s="68" t="s">
        <v>54</v>
      </c>
      <c r="R12" s="67" t="s">
        <v>26</v>
      </c>
      <c r="S12" s="74">
        <v>193</v>
      </c>
      <c r="T12" s="74">
        <v>83</v>
      </c>
      <c r="U12" s="184">
        <f t="shared" si="0"/>
        <v>95</v>
      </c>
      <c r="V12" s="84">
        <f t="shared" si="1"/>
        <v>371</v>
      </c>
      <c r="W12" s="51"/>
    </row>
    <row r="13" spans="1:23" x14ac:dyDescent="0.25">
      <c r="D13" s="63">
        <v>9</v>
      </c>
      <c r="E13" s="53" t="s">
        <v>32</v>
      </c>
      <c r="F13" s="74" t="s">
        <v>56</v>
      </c>
      <c r="G13" s="71" t="s">
        <v>54</v>
      </c>
      <c r="H13" s="72" t="s">
        <v>25</v>
      </c>
      <c r="I13" s="74">
        <v>200</v>
      </c>
      <c r="J13" s="74">
        <v>91</v>
      </c>
      <c r="K13" s="184">
        <f>I13-J13-G3</f>
        <v>94</v>
      </c>
      <c r="L13" s="84">
        <f t="shared" si="2"/>
        <v>385</v>
      </c>
      <c r="M13" s="54"/>
      <c r="N13" s="63">
        <v>22</v>
      </c>
      <c r="O13" s="53" t="s">
        <v>32</v>
      </c>
      <c r="P13" s="74" t="s">
        <v>37</v>
      </c>
      <c r="Q13" s="68" t="s">
        <v>54</v>
      </c>
      <c r="R13" s="67" t="s">
        <v>27</v>
      </c>
      <c r="S13" s="74">
        <v>193</v>
      </c>
      <c r="T13" s="74">
        <v>70</v>
      </c>
      <c r="U13" s="184">
        <f t="shared" si="0"/>
        <v>108</v>
      </c>
      <c r="V13" s="84">
        <f t="shared" si="1"/>
        <v>371</v>
      </c>
      <c r="W13" s="51"/>
    </row>
    <row r="14" spans="1:23" ht="15.75" customHeight="1" thickBot="1" x14ac:dyDescent="0.3">
      <c r="D14" s="63">
        <v>10</v>
      </c>
      <c r="E14" s="53" t="s">
        <v>32</v>
      </c>
      <c r="F14" s="74" t="s">
        <v>56</v>
      </c>
      <c r="G14" s="71" t="s">
        <v>54</v>
      </c>
      <c r="H14" s="72" t="s">
        <v>26</v>
      </c>
      <c r="I14" s="74">
        <v>200</v>
      </c>
      <c r="J14" s="74">
        <v>83</v>
      </c>
      <c r="K14" s="184">
        <f>I14-J14-G3</f>
        <v>102</v>
      </c>
      <c r="L14" s="84">
        <f t="shared" si="2"/>
        <v>385</v>
      </c>
      <c r="M14" s="54"/>
      <c r="N14" s="63">
        <v>23</v>
      </c>
      <c r="O14" s="56" t="s">
        <v>32</v>
      </c>
      <c r="P14" s="75" t="s">
        <v>37</v>
      </c>
      <c r="Q14" s="69" t="s">
        <v>54</v>
      </c>
      <c r="R14" s="70" t="s">
        <v>28</v>
      </c>
      <c r="S14" s="75">
        <v>193</v>
      </c>
      <c r="T14" s="75">
        <v>62</v>
      </c>
      <c r="U14" s="185">
        <f t="shared" si="0"/>
        <v>116</v>
      </c>
      <c r="V14" s="85">
        <f t="shared" si="1"/>
        <v>371</v>
      </c>
      <c r="W14" s="51"/>
    </row>
    <row r="15" spans="1:23" ht="15.75" customHeight="1" x14ac:dyDescent="0.25">
      <c r="D15" s="63">
        <v>11</v>
      </c>
      <c r="E15" s="53" t="s">
        <v>32</v>
      </c>
      <c r="F15" s="74" t="s">
        <v>56</v>
      </c>
      <c r="G15" s="71" t="s">
        <v>54</v>
      </c>
      <c r="H15" s="72" t="s">
        <v>27</v>
      </c>
      <c r="I15" s="74">
        <v>200</v>
      </c>
      <c r="J15" s="74">
        <v>70</v>
      </c>
      <c r="K15" s="184">
        <f>I15-J15-G3</f>
        <v>115</v>
      </c>
      <c r="L15" s="84">
        <f t="shared" si="2"/>
        <v>385</v>
      </c>
      <c r="M15" s="54"/>
      <c r="N15" s="63"/>
      <c r="O15" s="211" t="s">
        <v>36</v>
      </c>
      <c r="P15" s="212"/>
      <c r="Q15" s="212"/>
      <c r="R15" s="212"/>
      <c r="S15" s="212"/>
      <c r="T15" s="212"/>
      <c r="U15" s="183">
        <f>S16-G3</f>
        <v>142</v>
      </c>
      <c r="V15" s="83" t="s">
        <v>31</v>
      </c>
      <c r="W15" s="51"/>
    </row>
    <row r="16" spans="1:23" ht="15.75" customHeight="1" thickBot="1" x14ac:dyDescent="0.3">
      <c r="D16" s="63">
        <v>12</v>
      </c>
      <c r="E16" s="56" t="s">
        <v>32</v>
      </c>
      <c r="F16" s="75" t="s">
        <v>56</v>
      </c>
      <c r="G16" s="69" t="s">
        <v>54</v>
      </c>
      <c r="H16" s="70" t="s">
        <v>28</v>
      </c>
      <c r="I16" s="75">
        <v>200</v>
      </c>
      <c r="J16" s="75">
        <v>62</v>
      </c>
      <c r="K16" s="185">
        <f>I16-J16-G3</f>
        <v>123</v>
      </c>
      <c r="L16" s="85">
        <f t="shared" si="2"/>
        <v>385</v>
      </c>
      <c r="M16" s="54"/>
      <c r="N16" s="63">
        <v>34</v>
      </c>
      <c r="O16" s="55" t="s">
        <v>30</v>
      </c>
      <c r="P16" s="74" t="s">
        <v>39</v>
      </c>
      <c r="Q16" t="s">
        <v>54</v>
      </c>
      <c r="R16" s="67" t="s">
        <v>40</v>
      </c>
      <c r="S16" s="74">
        <v>157</v>
      </c>
      <c r="T16" s="74">
        <v>138</v>
      </c>
      <c r="U16" s="184">
        <f t="shared" ref="U16:U24" si="3">U$15-T16</f>
        <v>4</v>
      </c>
      <c r="V16" s="84">
        <f>S16+T16</f>
        <v>295</v>
      </c>
      <c r="W16" s="51"/>
    </row>
    <row r="17" spans="3:23" ht="15.75" customHeight="1" x14ac:dyDescent="0.25">
      <c r="C17" s="62"/>
      <c r="E17" s="211" t="s">
        <v>36</v>
      </c>
      <c r="F17" s="212"/>
      <c r="G17" s="212"/>
      <c r="H17" s="212"/>
      <c r="I17" s="212"/>
      <c r="J17" s="212"/>
      <c r="K17" s="183">
        <f>I18-G3</f>
        <v>160</v>
      </c>
      <c r="L17" s="83" t="s">
        <v>31</v>
      </c>
      <c r="M17" s="54"/>
      <c r="N17" s="63">
        <v>35</v>
      </c>
      <c r="O17" s="55" t="s">
        <v>30</v>
      </c>
      <c r="P17" s="74" t="s">
        <v>39</v>
      </c>
      <c r="Q17" t="s">
        <v>54</v>
      </c>
      <c r="R17" s="67" t="s">
        <v>41</v>
      </c>
      <c r="S17" s="74">
        <v>157</v>
      </c>
      <c r="T17" s="74">
        <v>129</v>
      </c>
      <c r="U17" s="184">
        <f t="shared" si="3"/>
        <v>13</v>
      </c>
      <c r="V17" s="84">
        <f t="shared" ref="V17:V24" si="4">S17+T17+U17</f>
        <v>299</v>
      </c>
      <c r="W17" s="51"/>
    </row>
    <row r="18" spans="3:23" ht="15.75" customHeight="1" x14ac:dyDescent="0.25">
      <c r="D18" s="63">
        <v>24</v>
      </c>
      <c r="E18" s="55" t="s">
        <v>30</v>
      </c>
      <c r="F18" s="74" t="s">
        <v>38</v>
      </c>
      <c r="G18" t="s">
        <v>54</v>
      </c>
      <c r="H18" s="67" t="s">
        <v>39</v>
      </c>
      <c r="I18" s="74">
        <v>175</v>
      </c>
      <c r="J18" s="74">
        <v>157</v>
      </c>
      <c r="K18" s="184">
        <f t="shared" ref="K18:K27" si="5">K$17-J18</f>
        <v>3</v>
      </c>
      <c r="L18" s="84">
        <f>I18+J18</f>
        <v>332</v>
      </c>
      <c r="M18" s="54"/>
      <c r="N18" s="63">
        <v>36</v>
      </c>
      <c r="O18" s="53" t="s">
        <v>32</v>
      </c>
      <c r="P18" s="74" t="s">
        <v>39</v>
      </c>
      <c r="Q18" t="s">
        <v>54</v>
      </c>
      <c r="R18" s="67" t="s">
        <v>42</v>
      </c>
      <c r="S18" s="74">
        <v>157</v>
      </c>
      <c r="T18" s="74">
        <v>121</v>
      </c>
      <c r="U18" s="184">
        <f t="shared" si="3"/>
        <v>21</v>
      </c>
      <c r="V18" s="84">
        <f t="shared" si="4"/>
        <v>299</v>
      </c>
      <c r="W18" s="51"/>
    </row>
    <row r="19" spans="3:23" ht="15.75" customHeight="1" x14ac:dyDescent="0.25">
      <c r="D19" s="63">
        <v>25</v>
      </c>
      <c r="E19" s="53" t="s">
        <v>32</v>
      </c>
      <c r="F19" s="74" t="s">
        <v>38</v>
      </c>
      <c r="G19" t="s">
        <v>54</v>
      </c>
      <c r="H19" s="67" t="s">
        <v>40</v>
      </c>
      <c r="I19" s="74">
        <v>175</v>
      </c>
      <c r="J19" s="74">
        <v>138</v>
      </c>
      <c r="K19" s="184">
        <f t="shared" si="5"/>
        <v>22</v>
      </c>
      <c r="L19" s="84">
        <f t="shared" ref="L19:L27" si="6">I19+J19+K19</f>
        <v>335</v>
      </c>
      <c r="M19" s="54"/>
      <c r="N19" s="63">
        <v>37</v>
      </c>
      <c r="O19" s="53" t="s">
        <v>32</v>
      </c>
      <c r="P19" s="74" t="s">
        <v>39</v>
      </c>
      <c r="Q19" t="s">
        <v>54</v>
      </c>
      <c r="R19" s="67" t="s">
        <v>43</v>
      </c>
      <c r="S19" s="74">
        <v>157</v>
      </c>
      <c r="T19" s="74">
        <v>112</v>
      </c>
      <c r="U19" s="184">
        <f t="shared" si="3"/>
        <v>30</v>
      </c>
      <c r="V19" s="84">
        <f t="shared" si="4"/>
        <v>299</v>
      </c>
      <c r="W19" s="51"/>
    </row>
    <row r="20" spans="3:23" ht="15.75" customHeight="1" x14ac:dyDescent="0.25">
      <c r="D20" s="63">
        <v>26</v>
      </c>
      <c r="E20" s="53" t="s">
        <v>32</v>
      </c>
      <c r="F20" s="74" t="s">
        <v>38</v>
      </c>
      <c r="G20" t="s">
        <v>54</v>
      </c>
      <c r="H20" s="67" t="s">
        <v>41</v>
      </c>
      <c r="I20" s="74">
        <v>175</v>
      </c>
      <c r="J20" s="74">
        <v>129</v>
      </c>
      <c r="K20" s="184">
        <f t="shared" si="5"/>
        <v>31</v>
      </c>
      <c r="L20" s="84">
        <f t="shared" si="6"/>
        <v>335</v>
      </c>
      <c r="M20" s="54"/>
      <c r="N20" s="63">
        <v>38</v>
      </c>
      <c r="O20" s="53" t="s">
        <v>32</v>
      </c>
      <c r="P20" s="74" t="s">
        <v>39</v>
      </c>
      <c r="Q20" t="s">
        <v>54</v>
      </c>
      <c r="R20" s="67" t="s">
        <v>44</v>
      </c>
      <c r="S20" s="74">
        <v>157</v>
      </c>
      <c r="T20" s="74">
        <v>100</v>
      </c>
      <c r="U20" s="184">
        <f t="shared" si="3"/>
        <v>42</v>
      </c>
      <c r="V20" s="84">
        <f t="shared" si="4"/>
        <v>299</v>
      </c>
      <c r="W20" s="51"/>
    </row>
    <row r="21" spans="3:23" ht="15.75" customHeight="1" x14ac:dyDescent="0.25">
      <c r="D21" s="63">
        <v>27</v>
      </c>
      <c r="E21" s="53" t="s">
        <v>32</v>
      </c>
      <c r="F21" s="74" t="s">
        <v>38</v>
      </c>
      <c r="G21" t="s">
        <v>54</v>
      </c>
      <c r="H21" s="67" t="s">
        <v>42</v>
      </c>
      <c r="I21" s="74">
        <v>175</v>
      </c>
      <c r="J21" s="74">
        <v>121</v>
      </c>
      <c r="K21" s="184">
        <f t="shared" si="5"/>
        <v>39</v>
      </c>
      <c r="L21" s="84">
        <f t="shared" si="6"/>
        <v>335</v>
      </c>
      <c r="M21" s="54"/>
      <c r="N21" s="63">
        <v>39</v>
      </c>
      <c r="O21" s="53" t="s">
        <v>32</v>
      </c>
      <c r="P21" s="74" t="s">
        <v>39</v>
      </c>
      <c r="Q21" t="s">
        <v>54</v>
      </c>
      <c r="R21" s="67" t="s">
        <v>25</v>
      </c>
      <c r="S21" s="74">
        <v>157</v>
      </c>
      <c r="T21" s="74">
        <v>91</v>
      </c>
      <c r="U21" s="184">
        <f t="shared" si="3"/>
        <v>51</v>
      </c>
      <c r="V21" s="84">
        <f t="shared" si="4"/>
        <v>299</v>
      </c>
      <c r="W21" s="51"/>
    </row>
    <row r="22" spans="3:23" ht="15.75" customHeight="1" x14ac:dyDescent="0.25">
      <c r="D22" s="63">
        <v>28</v>
      </c>
      <c r="E22" s="53" t="s">
        <v>32</v>
      </c>
      <c r="F22" s="74" t="s">
        <v>38</v>
      </c>
      <c r="G22" t="s">
        <v>54</v>
      </c>
      <c r="H22" s="67" t="s">
        <v>43</v>
      </c>
      <c r="I22" s="74">
        <v>175</v>
      </c>
      <c r="J22" s="74">
        <v>112</v>
      </c>
      <c r="K22" s="184">
        <f t="shared" si="5"/>
        <v>48</v>
      </c>
      <c r="L22" s="84">
        <f t="shared" si="6"/>
        <v>335</v>
      </c>
      <c r="M22" s="54"/>
      <c r="N22" s="63">
        <v>40</v>
      </c>
      <c r="O22" s="53" t="s">
        <v>32</v>
      </c>
      <c r="P22" s="74" t="s">
        <v>39</v>
      </c>
      <c r="Q22" t="s">
        <v>54</v>
      </c>
      <c r="R22" s="67" t="s">
        <v>26</v>
      </c>
      <c r="S22" s="74">
        <v>157</v>
      </c>
      <c r="T22" s="74">
        <v>83</v>
      </c>
      <c r="U22" s="184">
        <f t="shared" si="3"/>
        <v>59</v>
      </c>
      <c r="V22" s="84">
        <f t="shared" si="4"/>
        <v>299</v>
      </c>
      <c r="W22" s="51"/>
    </row>
    <row r="23" spans="3:23" ht="15.75" customHeight="1" x14ac:dyDescent="0.25">
      <c r="D23" s="63">
        <v>29</v>
      </c>
      <c r="E23" s="53" t="s">
        <v>32</v>
      </c>
      <c r="F23" s="74" t="s">
        <v>38</v>
      </c>
      <c r="G23" t="s">
        <v>54</v>
      </c>
      <c r="H23" s="67" t="s">
        <v>44</v>
      </c>
      <c r="I23" s="74">
        <v>175</v>
      </c>
      <c r="J23" s="74">
        <v>100</v>
      </c>
      <c r="K23" s="184">
        <f t="shared" si="5"/>
        <v>60</v>
      </c>
      <c r="L23" s="84">
        <f t="shared" si="6"/>
        <v>335</v>
      </c>
      <c r="M23" s="54"/>
      <c r="N23" s="63">
        <v>41</v>
      </c>
      <c r="O23" s="53" t="s">
        <v>32</v>
      </c>
      <c r="P23" s="74" t="s">
        <v>39</v>
      </c>
      <c r="Q23" t="s">
        <v>54</v>
      </c>
      <c r="R23" s="67" t="s">
        <v>27</v>
      </c>
      <c r="S23" s="74">
        <v>157</v>
      </c>
      <c r="T23" s="74">
        <v>70</v>
      </c>
      <c r="U23" s="184">
        <f t="shared" si="3"/>
        <v>72</v>
      </c>
      <c r="V23" s="84">
        <f t="shared" si="4"/>
        <v>299</v>
      </c>
      <c r="W23" s="51"/>
    </row>
    <row r="24" spans="3:23" ht="15.75" customHeight="1" thickBot="1" x14ac:dyDescent="0.3">
      <c r="D24" s="63">
        <v>30</v>
      </c>
      <c r="E24" s="53" t="s">
        <v>32</v>
      </c>
      <c r="F24" s="74" t="s">
        <v>38</v>
      </c>
      <c r="G24" t="s">
        <v>54</v>
      </c>
      <c r="H24" s="67" t="s">
        <v>25</v>
      </c>
      <c r="I24" s="74">
        <v>175</v>
      </c>
      <c r="J24" s="74">
        <v>91</v>
      </c>
      <c r="K24" s="184">
        <f t="shared" si="5"/>
        <v>69</v>
      </c>
      <c r="L24" s="84">
        <f t="shared" si="6"/>
        <v>335</v>
      </c>
      <c r="M24" s="54"/>
      <c r="N24" s="63">
        <v>42</v>
      </c>
      <c r="O24" s="56" t="s">
        <v>32</v>
      </c>
      <c r="P24" s="75" t="s">
        <v>39</v>
      </c>
      <c r="Q24" s="69" t="s">
        <v>54</v>
      </c>
      <c r="R24" s="70" t="s">
        <v>28</v>
      </c>
      <c r="S24" s="75">
        <v>157</v>
      </c>
      <c r="T24" s="75">
        <v>62</v>
      </c>
      <c r="U24" s="185">
        <f t="shared" si="3"/>
        <v>80</v>
      </c>
      <c r="V24" s="85">
        <f t="shared" si="4"/>
        <v>299</v>
      </c>
      <c r="W24" s="51"/>
    </row>
    <row r="25" spans="3:23" ht="15.75" customHeight="1" x14ac:dyDescent="0.25">
      <c r="D25" s="63">
        <v>31</v>
      </c>
      <c r="E25" s="53" t="s">
        <v>32</v>
      </c>
      <c r="F25" s="74" t="s">
        <v>38</v>
      </c>
      <c r="G25" t="s">
        <v>54</v>
      </c>
      <c r="H25" s="67" t="s">
        <v>26</v>
      </c>
      <c r="I25" s="74">
        <v>175</v>
      </c>
      <c r="J25" s="74">
        <v>83</v>
      </c>
      <c r="K25" s="184">
        <f t="shared" si="5"/>
        <v>77</v>
      </c>
      <c r="L25" s="84">
        <f t="shared" si="6"/>
        <v>335</v>
      </c>
      <c r="M25" s="54"/>
      <c r="N25" s="63"/>
      <c r="O25" s="211" t="s">
        <v>36</v>
      </c>
      <c r="P25" s="212"/>
      <c r="Q25" s="212"/>
      <c r="R25" s="212"/>
      <c r="S25" s="212"/>
      <c r="T25" s="212"/>
      <c r="U25" s="183">
        <f>S26-G3</f>
        <v>114</v>
      </c>
      <c r="V25" s="83" t="s">
        <v>31</v>
      </c>
      <c r="W25" s="51"/>
    </row>
    <row r="26" spans="3:23" ht="15.75" customHeight="1" x14ac:dyDescent="0.25">
      <c r="D26" s="63">
        <v>32</v>
      </c>
      <c r="E26" s="53" t="s">
        <v>32</v>
      </c>
      <c r="F26" s="74" t="s">
        <v>38</v>
      </c>
      <c r="G26" t="s">
        <v>54</v>
      </c>
      <c r="H26" s="67" t="s">
        <v>27</v>
      </c>
      <c r="I26" s="74">
        <v>175</v>
      </c>
      <c r="J26" s="74">
        <v>70</v>
      </c>
      <c r="K26" s="184">
        <f t="shared" si="5"/>
        <v>90</v>
      </c>
      <c r="L26" s="84">
        <f t="shared" si="6"/>
        <v>335</v>
      </c>
      <c r="M26" s="54"/>
      <c r="N26" s="63">
        <v>51</v>
      </c>
      <c r="O26" s="55" t="s">
        <v>30</v>
      </c>
      <c r="P26" s="74" t="s">
        <v>41</v>
      </c>
      <c r="Q26" t="s">
        <v>54</v>
      </c>
      <c r="R26" s="67" t="s">
        <v>42</v>
      </c>
      <c r="S26" s="74">
        <v>129</v>
      </c>
      <c r="T26" s="74">
        <v>121</v>
      </c>
      <c r="U26" s="184">
        <f t="shared" ref="U26:U32" si="7">U$25-T26</f>
        <v>-7</v>
      </c>
      <c r="V26" s="84">
        <f>S26+T26</f>
        <v>250</v>
      </c>
      <c r="W26" s="51"/>
    </row>
    <row r="27" spans="3:23" ht="15.75" customHeight="1" thickBot="1" x14ac:dyDescent="0.3">
      <c r="D27" s="63">
        <v>33</v>
      </c>
      <c r="E27" s="56" t="s">
        <v>32</v>
      </c>
      <c r="F27" s="75" t="s">
        <v>38</v>
      </c>
      <c r="G27" s="69" t="s">
        <v>54</v>
      </c>
      <c r="H27" s="70" t="s">
        <v>28</v>
      </c>
      <c r="I27" s="75">
        <v>175</v>
      </c>
      <c r="J27" s="75">
        <v>62</v>
      </c>
      <c r="K27" s="185">
        <f t="shared" si="5"/>
        <v>98</v>
      </c>
      <c r="L27" s="85">
        <f t="shared" si="6"/>
        <v>335</v>
      </c>
      <c r="M27" s="54"/>
      <c r="N27" s="63">
        <v>52</v>
      </c>
      <c r="O27" s="55" t="s">
        <v>30</v>
      </c>
      <c r="P27" s="74" t="s">
        <v>41</v>
      </c>
      <c r="Q27" t="s">
        <v>54</v>
      </c>
      <c r="R27" s="67" t="s">
        <v>43</v>
      </c>
      <c r="S27" s="74">
        <v>129</v>
      </c>
      <c r="T27" s="74">
        <v>112</v>
      </c>
      <c r="U27" s="184">
        <f t="shared" si="7"/>
        <v>2</v>
      </c>
      <c r="V27" s="84">
        <f>S27+T27</f>
        <v>241</v>
      </c>
      <c r="W27" s="51"/>
    </row>
    <row r="28" spans="3:23" ht="15.75" customHeight="1" x14ac:dyDescent="0.25">
      <c r="E28" s="211" t="s">
        <v>36</v>
      </c>
      <c r="F28" s="212"/>
      <c r="G28" s="212"/>
      <c r="H28" s="212"/>
      <c r="I28" s="212"/>
      <c r="J28" s="212"/>
      <c r="K28" s="183">
        <f>I29-G3</f>
        <v>123</v>
      </c>
      <c r="L28" s="83" t="s">
        <v>31</v>
      </c>
      <c r="M28" s="54"/>
      <c r="N28" s="63">
        <v>53</v>
      </c>
      <c r="O28" s="55" t="s">
        <v>30</v>
      </c>
      <c r="P28" s="74" t="s">
        <v>41</v>
      </c>
      <c r="Q28" t="s">
        <v>54</v>
      </c>
      <c r="R28" s="67" t="s">
        <v>44</v>
      </c>
      <c r="S28" s="74">
        <v>129</v>
      </c>
      <c r="T28" s="74">
        <v>100</v>
      </c>
      <c r="U28" s="184">
        <f t="shared" si="7"/>
        <v>14</v>
      </c>
      <c r="V28" s="84">
        <f>S28+T28+U28</f>
        <v>243</v>
      </c>
      <c r="W28" s="51"/>
    </row>
    <row r="29" spans="3:23" ht="15.75" customHeight="1" x14ac:dyDescent="0.25">
      <c r="D29" s="63">
        <v>43</v>
      </c>
      <c r="E29" s="55" t="s">
        <v>30</v>
      </c>
      <c r="F29" s="74" t="s">
        <v>40</v>
      </c>
      <c r="G29" t="s">
        <v>54</v>
      </c>
      <c r="H29" s="67" t="s">
        <v>41</v>
      </c>
      <c r="I29" s="74">
        <v>138</v>
      </c>
      <c r="J29" s="74">
        <v>129</v>
      </c>
      <c r="K29" s="184">
        <f t="shared" ref="K29:K36" si="8">K$28-J29</f>
        <v>-6</v>
      </c>
      <c r="L29" s="84">
        <f>I29+J29</f>
        <v>267</v>
      </c>
      <c r="M29" s="54"/>
      <c r="N29" s="63">
        <v>54</v>
      </c>
      <c r="O29" s="53" t="s">
        <v>32</v>
      </c>
      <c r="P29" s="74" t="s">
        <v>41</v>
      </c>
      <c r="Q29" t="s">
        <v>54</v>
      </c>
      <c r="R29" s="67" t="s">
        <v>25</v>
      </c>
      <c r="S29" s="74">
        <v>129</v>
      </c>
      <c r="T29" s="74">
        <v>91</v>
      </c>
      <c r="U29" s="184">
        <f t="shared" si="7"/>
        <v>23</v>
      </c>
      <c r="V29" s="84">
        <f>S29+T29+U29</f>
        <v>243</v>
      </c>
      <c r="W29" s="51"/>
    </row>
    <row r="30" spans="3:23" ht="15.75" customHeight="1" x14ac:dyDescent="0.25">
      <c r="D30" s="63">
        <v>44</v>
      </c>
      <c r="E30" s="55" t="s">
        <v>30</v>
      </c>
      <c r="F30" s="74" t="s">
        <v>40</v>
      </c>
      <c r="G30" t="s">
        <v>54</v>
      </c>
      <c r="H30" s="67" t="s">
        <v>42</v>
      </c>
      <c r="I30" s="74">
        <v>138</v>
      </c>
      <c r="J30" s="74">
        <v>121</v>
      </c>
      <c r="K30" s="184">
        <f t="shared" si="8"/>
        <v>2</v>
      </c>
      <c r="L30" s="84">
        <f t="shared" ref="L30:L36" si="9">I30+J30+K30</f>
        <v>261</v>
      </c>
      <c r="M30" s="54"/>
      <c r="N30" s="63">
        <v>55</v>
      </c>
      <c r="O30" s="53" t="s">
        <v>32</v>
      </c>
      <c r="P30" s="74" t="s">
        <v>41</v>
      </c>
      <c r="Q30" t="s">
        <v>54</v>
      </c>
      <c r="R30" s="67" t="s">
        <v>26</v>
      </c>
      <c r="S30" s="74">
        <v>129</v>
      </c>
      <c r="T30" s="74">
        <v>83</v>
      </c>
      <c r="U30" s="184">
        <f t="shared" si="7"/>
        <v>31</v>
      </c>
      <c r="V30" s="84">
        <f>S30+T30+U30</f>
        <v>243</v>
      </c>
      <c r="W30" s="51"/>
    </row>
    <row r="31" spans="3:23" ht="15.75" customHeight="1" x14ac:dyDescent="0.25">
      <c r="D31" s="63">
        <v>45</v>
      </c>
      <c r="E31" s="55" t="s">
        <v>30</v>
      </c>
      <c r="F31" s="74" t="s">
        <v>40</v>
      </c>
      <c r="G31" t="s">
        <v>54</v>
      </c>
      <c r="H31" s="67" t="s">
        <v>43</v>
      </c>
      <c r="I31" s="74">
        <v>138</v>
      </c>
      <c r="J31" s="74">
        <v>112</v>
      </c>
      <c r="K31" s="184">
        <f t="shared" si="8"/>
        <v>11</v>
      </c>
      <c r="L31" s="84">
        <f t="shared" si="9"/>
        <v>261</v>
      </c>
      <c r="M31" s="54"/>
      <c r="N31" s="63">
        <v>56</v>
      </c>
      <c r="O31" s="53" t="s">
        <v>32</v>
      </c>
      <c r="P31" s="74" t="s">
        <v>41</v>
      </c>
      <c r="Q31" t="s">
        <v>54</v>
      </c>
      <c r="R31" s="67" t="s">
        <v>27</v>
      </c>
      <c r="S31" s="74">
        <v>129</v>
      </c>
      <c r="T31" s="74">
        <v>70</v>
      </c>
      <c r="U31" s="184">
        <f t="shared" si="7"/>
        <v>44</v>
      </c>
      <c r="V31" s="84">
        <f>S31+T31+U31</f>
        <v>243</v>
      </c>
      <c r="W31" s="51"/>
    </row>
    <row r="32" spans="3:23" ht="15.75" customHeight="1" thickBot="1" x14ac:dyDescent="0.3">
      <c r="D32" s="63">
        <v>46</v>
      </c>
      <c r="E32" s="53" t="s">
        <v>32</v>
      </c>
      <c r="F32" s="74" t="s">
        <v>40</v>
      </c>
      <c r="G32" t="s">
        <v>54</v>
      </c>
      <c r="H32" s="67" t="s">
        <v>44</v>
      </c>
      <c r="I32" s="74">
        <v>138</v>
      </c>
      <c r="J32" s="74">
        <v>100</v>
      </c>
      <c r="K32" s="184">
        <f t="shared" si="8"/>
        <v>23</v>
      </c>
      <c r="L32" s="84">
        <f t="shared" si="9"/>
        <v>261</v>
      </c>
      <c r="M32" s="54"/>
      <c r="N32" s="63">
        <v>57</v>
      </c>
      <c r="O32" s="56" t="s">
        <v>32</v>
      </c>
      <c r="P32" s="75" t="s">
        <v>41</v>
      </c>
      <c r="Q32" s="69" t="s">
        <v>54</v>
      </c>
      <c r="R32" s="70" t="s">
        <v>28</v>
      </c>
      <c r="S32" s="75">
        <v>129</v>
      </c>
      <c r="T32" s="75">
        <v>62</v>
      </c>
      <c r="U32" s="185">
        <f t="shared" si="7"/>
        <v>52</v>
      </c>
      <c r="V32" s="85">
        <f>S32+T32+U32</f>
        <v>243</v>
      </c>
      <c r="W32" s="51"/>
    </row>
    <row r="33" spans="4:23" ht="15.75" customHeight="1" x14ac:dyDescent="0.25">
      <c r="D33" s="63">
        <v>47</v>
      </c>
      <c r="E33" s="53" t="s">
        <v>32</v>
      </c>
      <c r="F33" s="74" t="s">
        <v>40</v>
      </c>
      <c r="G33" t="s">
        <v>54</v>
      </c>
      <c r="H33" s="67" t="s">
        <v>25</v>
      </c>
      <c r="I33" s="74">
        <v>138</v>
      </c>
      <c r="J33" s="74">
        <v>91</v>
      </c>
      <c r="K33" s="184">
        <f t="shared" si="8"/>
        <v>32</v>
      </c>
      <c r="L33" s="84">
        <f t="shared" si="9"/>
        <v>261</v>
      </c>
      <c r="M33" s="54"/>
      <c r="N33" s="63"/>
      <c r="O33" s="211" t="s">
        <v>36</v>
      </c>
      <c r="P33" s="212"/>
      <c r="Q33" s="212"/>
      <c r="R33" s="212"/>
      <c r="S33" s="212"/>
      <c r="T33" s="212"/>
      <c r="U33" s="183">
        <f>S34-G3</f>
        <v>97</v>
      </c>
      <c r="V33" s="83" t="s">
        <v>31</v>
      </c>
      <c r="W33" s="51"/>
    </row>
    <row r="34" spans="4:23" ht="15.75" customHeight="1" x14ac:dyDescent="0.25">
      <c r="D34" s="63">
        <v>48</v>
      </c>
      <c r="E34" s="53" t="s">
        <v>32</v>
      </c>
      <c r="F34" s="74" t="s">
        <v>40</v>
      </c>
      <c r="G34" t="s">
        <v>54</v>
      </c>
      <c r="H34" s="67" t="s">
        <v>26</v>
      </c>
      <c r="I34" s="74">
        <v>138</v>
      </c>
      <c r="J34" s="74">
        <v>83</v>
      </c>
      <c r="K34" s="184">
        <f t="shared" si="8"/>
        <v>40</v>
      </c>
      <c r="L34" s="84">
        <f t="shared" si="9"/>
        <v>261</v>
      </c>
      <c r="M34" s="54"/>
      <c r="N34" s="63">
        <v>64</v>
      </c>
      <c r="O34" s="55" t="s">
        <v>30</v>
      </c>
      <c r="P34" s="74" t="s">
        <v>43</v>
      </c>
      <c r="Q34" t="s">
        <v>54</v>
      </c>
      <c r="R34" s="67" t="s">
        <v>44</v>
      </c>
      <c r="S34" s="74">
        <v>112</v>
      </c>
      <c r="T34" s="74">
        <v>100</v>
      </c>
      <c r="U34" s="184">
        <f>U$33-T34</f>
        <v>-3</v>
      </c>
      <c r="V34" s="84">
        <f>S34+T34</f>
        <v>212</v>
      </c>
      <c r="W34" s="51"/>
    </row>
    <row r="35" spans="4:23" ht="15.75" customHeight="1" x14ac:dyDescent="0.25">
      <c r="D35" s="63">
        <v>49</v>
      </c>
      <c r="E35" s="53" t="s">
        <v>32</v>
      </c>
      <c r="F35" s="74" t="s">
        <v>40</v>
      </c>
      <c r="G35" t="s">
        <v>54</v>
      </c>
      <c r="H35" s="67" t="s">
        <v>27</v>
      </c>
      <c r="I35" s="74">
        <v>138</v>
      </c>
      <c r="J35" s="74">
        <v>70</v>
      </c>
      <c r="K35" s="184">
        <f t="shared" si="8"/>
        <v>53</v>
      </c>
      <c r="L35" s="84">
        <f t="shared" si="9"/>
        <v>261</v>
      </c>
      <c r="M35" s="54"/>
      <c r="N35" s="63">
        <v>65</v>
      </c>
      <c r="O35" s="55" t="s">
        <v>30</v>
      </c>
      <c r="P35" s="74" t="s">
        <v>43</v>
      </c>
      <c r="Q35" t="s">
        <v>54</v>
      </c>
      <c r="R35" s="67" t="s">
        <v>25</v>
      </c>
      <c r="S35" s="74">
        <v>112</v>
      </c>
      <c r="T35" s="74">
        <v>91</v>
      </c>
      <c r="U35" s="184">
        <f>U$33-T35</f>
        <v>6</v>
      </c>
      <c r="V35" s="84">
        <f>S35+T35+U35</f>
        <v>209</v>
      </c>
      <c r="W35" s="51"/>
    </row>
    <row r="36" spans="4:23" ht="15.75" customHeight="1" thickBot="1" x14ac:dyDescent="0.3">
      <c r="D36" s="63">
        <v>50</v>
      </c>
      <c r="E36" s="56" t="s">
        <v>32</v>
      </c>
      <c r="F36" s="75" t="s">
        <v>40</v>
      </c>
      <c r="G36" s="69" t="s">
        <v>54</v>
      </c>
      <c r="H36" s="70" t="s">
        <v>28</v>
      </c>
      <c r="I36" s="75">
        <v>138</v>
      </c>
      <c r="J36" s="75">
        <v>62</v>
      </c>
      <c r="K36" s="185">
        <f t="shared" si="8"/>
        <v>61</v>
      </c>
      <c r="L36" s="85">
        <f t="shared" si="9"/>
        <v>261</v>
      </c>
      <c r="M36" s="54"/>
      <c r="N36" s="63">
        <v>66</v>
      </c>
      <c r="O36" s="55" t="s">
        <v>30</v>
      </c>
      <c r="P36" s="74" t="s">
        <v>43</v>
      </c>
      <c r="Q36" t="s">
        <v>54</v>
      </c>
      <c r="R36" s="67" t="s">
        <v>26</v>
      </c>
      <c r="S36" s="74">
        <v>112</v>
      </c>
      <c r="T36" s="74">
        <v>83</v>
      </c>
      <c r="U36" s="184">
        <f>U$33-T36</f>
        <v>14</v>
      </c>
      <c r="V36" s="84">
        <f>S36+T36+U36</f>
        <v>209</v>
      </c>
      <c r="W36" s="51"/>
    </row>
    <row r="37" spans="4:23" ht="15.75" customHeight="1" x14ac:dyDescent="0.25">
      <c r="E37" s="211" t="s">
        <v>36</v>
      </c>
      <c r="F37" s="212"/>
      <c r="G37" s="212"/>
      <c r="H37" s="212"/>
      <c r="I37" s="212"/>
      <c r="J37" s="212"/>
      <c r="K37" s="183">
        <f>I38-G3</f>
        <v>106</v>
      </c>
      <c r="L37" s="83" t="s">
        <v>31</v>
      </c>
      <c r="M37" s="54"/>
      <c r="N37" s="63">
        <v>67</v>
      </c>
      <c r="O37" s="53" t="s">
        <v>32</v>
      </c>
      <c r="P37" s="74" t="s">
        <v>43</v>
      </c>
      <c r="Q37" t="s">
        <v>54</v>
      </c>
      <c r="R37" s="67" t="s">
        <v>27</v>
      </c>
      <c r="S37" s="74">
        <v>112</v>
      </c>
      <c r="T37" s="74">
        <v>70</v>
      </c>
      <c r="U37" s="184">
        <f>U$33-T37</f>
        <v>27</v>
      </c>
      <c r="V37" s="84">
        <f>S37+T37+U37</f>
        <v>209</v>
      </c>
      <c r="W37" s="51"/>
    </row>
    <row r="38" spans="4:23" ht="15.75" customHeight="1" thickBot="1" x14ac:dyDescent="0.3">
      <c r="D38" s="63">
        <v>58</v>
      </c>
      <c r="E38" s="55" t="s">
        <v>30</v>
      </c>
      <c r="F38" s="74" t="s">
        <v>42</v>
      </c>
      <c r="G38" t="s">
        <v>54</v>
      </c>
      <c r="H38" s="67" t="s">
        <v>43</v>
      </c>
      <c r="I38" s="74">
        <v>121</v>
      </c>
      <c r="J38" s="74">
        <v>112</v>
      </c>
      <c r="K38" s="184">
        <f t="shared" ref="K38:K43" si="10">K$37-J38</f>
        <v>-6</v>
      </c>
      <c r="L38" s="84">
        <f>I38+J38</f>
        <v>233</v>
      </c>
      <c r="M38" s="54"/>
      <c r="N38" s="63">
        <v>68</v>
      </c>
      <c r="O38" s="56" t="s">
        <v>32</v>
      </c>
      <c r="P38" s="75" t="s">
        <v>43</v>
      </c>
      <c r="Q38" s="69" t="s">
        <v>54</v>
      </c>
      <c r="R38" s="70" t="s">
        <v>28</v>
      </c>
      <c r="S38" s="75">
        <v>112</v>
      </c>
      <c r="T38" s="75">
        <v>62</v>
      </c>
      <c r="U38" s="185">
        <f>U$33-T38</f>
        <v>35</v>
      </c>
      <c r="V38" s="85">
        <f>S38+T38+U38</f>
        <v>209</v>
      </c>
      <c r="W38" s="51"/>
    </row>
    <row r="39" spans="4:23" ht="15.75" customHeight="1" x14ac:dyDescent="0.25">
      <c r="D39" s="63">
        <v>59</v>
      </c>
      <c r="E39" s="55" t="s">
        <v>30</v>
      </c>
      <c r="F39" s="74" t="s">
        <v>42</v>
      </c>
      <c r="G39" t="s">
        <v>54</v>
      </c>
      <c r="H39" s="67" t="s">
        <v>44</v>
      </c>
      <c r="I39" s="74">
        <v>121</v>
      </c>
      <c r="J39" s="74">
        <v>100</v>
      </c>
      <c r="K39" s="184">
        <f t="shared" si="10"/>
        <v>6</v>
      </c>
      <c r="L39" s="84">
        <f>I39+J39+K39</f>
        <v>227</v>
      </c>
      <c r="M39" s="54"/>
      <c r="N39" s="63"/>
      <c r="O39" s="211" t="s">
        <v>36</v>
      </c>
      <c r="P39" s="212"/>
      <c r="Q39" s="212"/>
      <c r="R39" s="212"/>
      <c r="S39" s="212"/>
      <c r="T39" s="212"/>
      <c r="U39" s="183">
        <f>S40-G3</f>
        <v>55</v>
      </c>
      <c r="V39" s="83" t="s">
        <v>31</v>
      </c>
      <c r="W39" s="51"/>
    </row>
    <row r="40" spans="4:23" ht="15.75" customHeight="1" thickBot="1" x14ac:dyDescent="0.3">
      <c r="D40" s="63">
        <v>60</v>
      </c>
      <c r="E40" s="55" t="s">
        <v>30</v>
      </c>
      <c r="F40" s="74" t="s">
        <v>42</v>
      </c>
      <c r="G40" t="s">
        <v>54</v>
      </c>
      <c r="H40" s="67" t="s">
        <v>25</v>
      </c>
      <c r="I40" s="74">
        <v>121</v>
      </c>
      <c r="J40" s="74">
        <v>91</v>
      </c>
      <c r="K40" s="184">
        <f t="shared" si="10"/>
        <v>15</v>
      </c>
      <c r="L40" s="84">
        <f>I40+J40+K40</f>
        <v>227</v>
      </c>
      <c r="M40" s="54"/>
      <c r="N40" s="63">
        <v>78</v>
      </c>
      <c r="O40" s="57" t="s">
        <v>30</v>
      </c>
      <c r="P40" s="75" t="s">
        <v>27</v>
      </c>
      <c r="Q40" s="69" t="s">
        <v>54</v>
      </c>
      <c r="R40" s="70" t="s">
        <v>28</v>
      </c>
      <c r="S40" s="75">
        <v>70</v>
      </c>
      <c r="T40" s="75">
        <v>62</v>
      </c>
      <c r="U40" s="185">
        <f>U$39-T40</f>
        <v>-7</v>
      </c>
      <c r="V40" s="85">
        <f>S40+T40+U40</f>
        <v>125</v>
      </c>
      <c r="W40" s="51"/>
    </row>
    <row r="41" spans="4:23" ht="15.75" customHeight="1" x14ac:dyDescent="0.25">
      <c r="D41" s="63">
        <v>61</v>
      </c>
      <c r="E41" s="53" t="s">
        <v>32</v>
      </c>
      <c r="F41" s="74" t="s">
        <v>42</v>
      </c>
      <c r="G41" t="s">
        <v>54</v>
      </c>
      <c r="H41" s="67" t="s">
        <v>26</v>
      </c>
      <c r="I41" s="74">
        <v>121</v>
      </c>
      <c r="J41" s="74">
        <v>83</v>
      </c>
      <c r="K41" s="184">
        <f t="shared" si="10"/>
        <v>23</v>
      </c>
      <c r="L41" s="84">
        <f>I41+J41+K41</f>
        <v>227</v>
      </c>
      <c r="M41" s="54"/>
      <c r="N41" s="63">
        <v>79</v>
      </c>
      <c r="O41" s="58" t="s">
        <v>35</v>
      </c>
      <c r="P41" s="76" t="s">
        <v>56</v>
      </c>
      <c r="R41" s="67"/>
      <c r="S41" s="86">
        <v>200</v>
      </c>
      <c r="T41" s="76"/>
      <c r="U41" s="186"/>
      <c r="V41" s="87">
        <v>200</v>
      </c>
      <c r="W41" s="51"/>
    </row>
    <row r="42" spans="4:23" ht="15.75" customHeight="1" x14ac:dyDescent="0.25">
      <c r="D42" s="63">
        <v>62</v>
      </c>
      <c r="E42" s="53" t="s">
        <v>32</v>
      </c>
      <c r="F42" s="74" t="s">
        <v>42</v>
      </c>
      <c r="G42" t="s">
        <v>54</v>
      </c>
      <c r="H42" s="67" t="s">
        <v>27</v>
      </c>
      <c r="I42" s="74">
        <v>121</v>
      </c>
      <c r="J42" s="74">
        <v>70</v>
      </c>
      <c r="K42" s="184">
        <f t="shared" si="10"/>
        <v>36</v>
      </c>
      <c r="L42" s="84">
        <f>I42+J42+K42</f>
        <v>227</v>
      </c>
      <c r="M42" s="54"/>
      <c r="N42" s="63">
        <v>80</v>
      </c>
      <c r="O42" s="59" t="s">
        <v>35</v>
      </c>
      <c r="P42" s="74" t="s">
        <v>37</v>
      </c>
      <c r="R42" s="67"/>
      <c r="S42" s="49">
        <v>193</v>
      </c>
      <c r="T42" s="74"/>
      <c r="U42" s="184"/>
      <c r="V42" s="88">
        <v>193</v>
      </c>
      <c r="W42" s="51"/>
    </row>
    <row r="43" spans="4:23" ht="15.75" customHeight="1" thickBot="1" x14ac:dyDescent="0.3">
      <c r="D43" s="63">
        <v>63</v>
      </c>
      <c r="E43" s="56" t="s">
        <v>32</v>
      </c>
      <c r="F43" s="75" t="s">
        <v>42</v>
      </c>
      <c r="G43" s="69" t="s">
        <v>54</v>
      </c>
      <c r="H43" s="70" t="s">
        <v>28</v>
      </c>
      <c r="I43" s="75">
        <v>121</v>
      </c>
      <c r="J43" s="75">
        <v>62</v>
      </c>
      <c r="K43" s="185">
        <f t="shared" si="10"/>
        <v>44</v>
      </c>
      <c r="L43" s="85">
        <f>I43+J43+K43</f>
        <v>227</v>
      </c>
      <c r="M43" s="54"/>
      <c r="N43" s="63">
        <v>81</v>
      </c>
      <c r="O43" s="59" t="s">
        <v>35</v>
      </c>
      <c r="P43" s="74" t="s">
        <v>38</v>
      </c>
      <c r="R43" s="67"/>
      <c r="S43" s="50">
        <v>175</v>
      </c>
      <c r="T43" s="74"/>
      <c r="U43" s="184"/>
      <c r="V43" s="89">
        <v>175</v>
      </c>
      <c r="W43" s="51"/>
    </row>
    <row r="44" spans="4:23" ht="15.75" customHeight="1" x14ac:dyDescent="0.25">
      <c r="E44" s="211" t="s">
        <v>36</v>
      </c>
      <c r="F44" s="212"/>
      <c r="G44" s="212"/>
      <c r="H44" s="212"/>
      <c r="I44" s="212"/>
      <c r="J44" s="212"/>
      <c r="K44" s="183">
        <f>I45-G3</f>
        <v>85</v>
      </c>
      <c r="L44" s="83" t="s">
        <v>31</v>
      </c>
      <c r="M44" s="54"/>
      <c r="N44" s="63">
        <v>82</v>
      </c>
      <c r="O44" s="59" t="s">
        <v>35</v>
      </c>
      <c r="P44" s="74" t="s">
        <v>39</v>
      </c>
      <c r="R44" s="67"/>
      <c r="S44" s="50">
        <v>157</v>
      </c>
      <c r="T44" s="74"/>
      <c r="U44" s="184"/>
      <c r="V44" s="89">
        <v>157</v>
      </c>
      <c r="W44" s="51"/>
    </row>
    <row r="45" spans="4:23" ht="15.75" customHeight="1" x14ac:dyDescent="0.25">
      <c r="D45" s="63">
        <v>69</v>
      </c>
      <c r="E45" s="55" t="s">
        <v>30</v>
      </c>
      <c r="F45" s="74" t="s">
        <v>44</v>
      </c>
      <c r="G45" t="s">
        <v>54</v>
      </c>
      <c r="H45" s="67" t="s">
        <v>25</v>
      </c>
      <c r="I45" s="74">
        <v>100</v>
      </c>
      <c r="J45" s="74">
        <v>91</v>
      </c>
      <c r="K45" s="184">
        <f>K$44-J45</f>
        <v>-6</v>
      </c>
      <c r="L45" s="84">
        <f>I45+J45</f>
        <v>191</v>
      </c>
      <c r="M45" s="54"/>
      <c r="N45" s="63">
        <v>83</v>
      </c>
      <c r="O45" s="59" t="s">
        <v>35</v>
      </c>
      <c r="P45" s="74" t="s">
        <v>40</v>
      </c>
      <c r="R45" s="67"/>
      <c r="S45" s="49">
        <v>138</v>
      </c>
      <c r="T45" s="74"/>
      <c r="U45" s="184"/>
      <c r="V45" s="88">
        <v>138</v>
      </c>
      <c r="W45" s="52"/>
    </row>
    <row r="46" spans="4:23" ht="15.75" customHeight="1" x14ac:dyDescent="0.25">
      <c r="D46" s="63">
        <v>70</v>
      </c>
      <c r="E46" s="55" t="s">
        <v>30</v>
      </c>
      <c r="F46" s="74" t="s">
        <v>44</v>
      </c>
      <c r="G46" t="s">
        <v>54</v>
      </c>
      <c r="H46" s="67" t="s">
        <v>26</v>
      </c>
      <c r="I46" s="74">
        <v>100</v>
      </c>
      <c r="J46" s="74">
        <v>83</v>
      </c>
      <c r="K46" s="184">
        <f>K$44-J46</f>
        <v>2</v>
      </c>
      <c r="L46" s="84">
        <f>I46+J46+K46</f>
        <v>185</v>
      </c>
      <c r="M46" s="54"/>
      <c r="N46" s="63">
        <v>84</v>
      </c>
      <c r="O46" s="59" t="s">
        <v>35</v>
      </c>
      <c r="P46" s="74" t="s">
        <v>41</v>
      </c>
      <c r="R46" s="67"/>
      <c r="S46" s="90">
        <v>129</v>
      </c>
      <c r="T46" s="74"/>
      <c r="U46" s="184"/>
      <c r="V46" s="91">
        <v>129</v>
      </c>
      <c r="W46" s="51"/>
    </row>
    <row r="47" spans="4:23" ht="15.75" customHeight="1" x14ac:dyDescent="0.25">
      <c r="D47" s="63">
        <v>71</v>
      </c>
      <c r="E47" s="55" t="s">
        <v>30</v>
      </c>
      <c r="F47" s="74" t="s">
        <v>44</v>
      </c>
      <c r="G47" t="s">
        <v>54</v>
      </c>
      <c r="H47" s="67" t="s">
        <v>27</v>
      </c>
      <c r="I47" s="74">
        <v>100</v>
      </c>
      <c r="J47" s="74">
        <v>70</v>
      </c>
      <c r="K47" s="184">
        <f>K$44-J47</f>
        <v>15</v>
      </c>
      <c r="L47" s="84">
        <f>I47+J47+K47</f>
        <v>185</v>
      </c>
      <c r="M47" s="54"/>
      <c r="N47" s="63">
        <v>85</v>
      </c>
      <c r="O47" s="59" t="s">
        <v>35</v>
      </c>
      <c r="P47" s="74" t="s">
        <v>42</v>
      </c>
      <c r="R47" s="67"/>
      <c r="S47" s="49">
        <v>121</v>
      </c>
      <c r="T47" s="74"/>
      <c r="U47" s="184"/>
      <c r="V47" s="88">
        <v>121</v>
      </c>
      <c r="W47" s="51"/>
    </row>
    <row r="48" spans="4:23" ht="15.75" customHeight="1" thickBot="1" x14ac:dyDescent="0.3">
      <c r="D48" s="63">
        <v>72</v>
      </c>
      <c r="E48" s="56" t="s">
        <v>32</v>
      </c>
      <c r="F48" s="75" t="s">
        <v>44</v>
      </c>
      <c r="G48" s="69" t="s">
        <v>54</v>
      </c>
      <c r="H48" s="70" t="s">
        <v>28</v>
      </c>
      <c r="I48" s="75">
        <v>100</v>
      </c>
      <c r="J48" s="75">
        <v>62</v>
      </c>
      <c r="K48" s="185">
        <f>K$44-J48</f>
        <v>23</v>
      </c>
      <c r="L48" s="85">
        <f>I48+J48+K48</f>
        <v>185</v>
      </c>
      <c r="M48" s="54"/>
      <c r="N48" s="63">
        <v>86</v>
      </c>
      <c r="O48" s="59" t="s">
        <v>35</v>
      </c>
      <c r="P48" s="74" t="s">
        <v>43</v>
      </c>
      <c r="R48" s="67"/>
      <c r="S48" s="50">
        <v>112</v>
      </c>
      <c r="T48" s="74"/>
      <c r="U48" s="184"/>
      <c r="V48" s="89">
        <v>112</v>
      </c>
    </row>
    <row r="49" spans="4:22" ht="15.75" customHeight="1" x14ac:dyDescent="0.25">
      <c r="E49" s="211" t="s">
        <v>36</v>
      </c>
      <c r="F49" s="212"/>
      <c r="G49" s="212"/>
      <c r="H49" s="212"/>
      <c r="I49" s="212"/>
      <c r="J49" s="212"/>
      <c r="K49" s="183">
        <f>I50-G3</f>
        <v>76</v>
      </c>
      <c r="L49" s="83" t="s">
        <v>31</v>
      </c>
      <c r="M49" s="54"/>
      <c r="N49" s="63">
        <v>87</v>
      </c>
      <c r="O49" s="59" t="s">
        <v>35</v>
      </c>
      <c r="P49" s="74" t="s">
        <v>44</v>
      </c>
      <c r="R49" s="67"/>
      <c r="S49" s="50">
        <v>100</v>
      </c>
      <c r="T49" s="74"/>
      <c r="U49" s="184"/>
      <c r="V49" s="89">
        <v>100</v>
      </c>
    </row>
    <row r="50" spans="4:22" ht="15.75" customHeight="1" x14ac:dyDescent="0.25">
      <c r="D50" s="63">
        <v>73</v>
      </c>
      <c r="E50" s="55" t="s">
        <v>30</v>
      </c>
      <c r="F50" s="74" t="s">
        <v>25</v>
      </c>
      <c r="G50" t="s">
        <v>54</v>
      </c>
      <c r="H50" s="67" t="s">
        <v>26</v>
      </c>
      <c r="I50" s="74">
        <v>91</v>
      </c>
      <c r="J50" s="74">
        <v>83</v>
      </c>
      <c r="K50" s="184">
        <f>K$49-J50</f>
        <v>-7</v>
      </c>
      <c r="L50" s="84">
        <f>I50+J50</f>
        <v>174</v>
      </c>
      <c r="N50" s="63">
        <v>88</v>
      </c>
      <c r="O50" s="59" t="s">
        <v>35</v>
      </c>
      <c r="P50" s="74" t="s">
        <v>25</v>
      </c>
      <c r="R50" s="67"/>
      <c r="S50" s="50">
        <v>91</v>
      </c>
      <c r="T50" s="74"/>
      <c r="U50" s="184"/>
      <c r="V50" s="89">
        <v>91</v>
      </c>
    </row>
    <row r="51" spans="4:22" ht="15.75" customHeight="1" x14ac:dyDescent="0.25">
      <c r="D51" s="63">
        <v>74</v>
      </c>
      <c r="E51" s="55" t="s">
        <v>30</v>
      </c>
      <c r="F51" s="74" t="s">
        <v>25</v>
      </c>
      <c r="G51" t="s">
        <v>54</v>
      </c>
      <c r="H51" s="67" t="s">
        <v>27</v>
      </c>
      <c r="I51" s="74">
        <v>91</v>
      </c>
      <c r="J51" s="74">
        <v>70</v>
      </c>
      <c r="K51" s="184">
        <f>K$49-J51</f>
        <v>6</v>
      </c>
      <c r="L51" s="84">
        <f>I51+J51</f>
        <v>161</v>
      </c>
      <c r="N51" s="63">
        <v>89</v>
      </c>
      <c r="O51" s="59" t="s">
        <v>35</v>
      </c>
      <c r="P51" s="74" t="s">
        <v>26</v>
      </c>
      <c r="R51" s="67"/>
      <c r="S51" s="50">
        <v>83</v>
      </c>
      <c r="T51" s="74"/>
      <c r="U51" s="184"/>
      <c r="V51" s="89">
        <v>83</v>
      </c>
    </row>
    <row r="52" spans="4:22" ht="15.75" customHeight="1" thickBot="1" x14ac:dyDescent="0.3">
      <c r="D52" s="63">
        <v>75</v>
      </c>
      <c r="E52" s="55" t="s">
        <v>30</v>
      </c>
      <c r="F52" s="74" t="s">
        <v>25</v>
      </c>
      <c r="G52" s="69" t="s">
        <v>54</v>
      </c>
      <c r="H52" s="70" t="s">
        <v>28</v>
      </c>
      <c r="I52" s="75">
        <v>91</v>
      </c>
      <c r="J52" s="74">
        <v>62</v>
      </c>
      <c r="K52" s="184">
        <f>K$49-J52</f>
        <v>14</v>
      </c>
      <c r="L52" s="84">
        <f>I52+J52+K52</f>
        <v>167</v>
      </c>
      <c r="N52" s="63">
        <v>90</v>
      </c>
      <c r="O52" s="59" t="s">
        <v>35</v>
      </c>
      <c r="P52" s="74" t="s">
        <v>27</v>
      </c>
      <c r="R52" s="67"/>
      <c r="S52" s="50">
        <v>70</v>
      </c>
      <c r="T52" s="74"/>
      <c r="U52" s="184"/>
      <c r="V52" s="89">
        <v>70</v>
      </c>
    </row>
    <row r="53" spans="4:22" ht="15.75" customHeight="1" x14ac:dyDescent="0.25">
      <c r="E53" s="211" t="s">
        <v>36</v>
      </c>
      <c r="F53" s="212"/>
      <c r="G53" s="212"/>
      <c r="H53" s="212"/>
      <c r="I53" s="212"/>
      <c r="J53" s="212"/>
      <c r="K53" s="183">
        <f>I54-G3</f>
        <v>68</v>
      </c>
      <c r="L53" s="83" t="s">
        <v>31</v>
      </c>
      <c r="N53" s="63">
        <v>91</v>
      </c>
      <c r="O53" s="59" t="s">
        <v>35</v>
      </c>
      <c r="P53" s="74" t="s">
        <v>28</v>
      </c>
      <c r="R53" s="67"/>
      <c r="S53" s="50">
        <v>62</v>
      </c>
      <c r="T53" s="74"/>
      <c r="U53" s="184"/>
      <c r="V53" s="89">
        <v>62</v>
      </c>
    </row>
    <row r="54" spans="4:22" ht="15.75" customHeight="1" x14ac:dyDescent="0.25">
      <c r="D54" s="63">
        <v>76</v>
      </c>
      <c r="E54" s="55" t="s">
        <v>30</v>
      </c>
      <c r="F54" s="74" t="s">
        <v>26</v>
      </c>
      <c r="G54" t="s">
        <v>54</v>
      </c>
      <c r="H54" s="67" t="s">
        <v>27</v>
      </c>
      <c r="I54" s="74">
        <v>83</v>
      </c>
      <c r="J54" s="74">
        <v>70</v>
      </c>
      <c r="K54" s="184">
        <f>K$53-J54</f>
        <v>-2</v>
      </c>
      <c r="L54" s="84">
        <f>I54+J54</f>
        <v>153</v>
      </c>
      <c r="N54" s="63">
        <v>92</v>
      </c>
      <c r="O54" s="59" t="s">
        <v>35</v>
      </c>
      <c r="P54" s="74" t="s">
        <v>15</v>
      </c>
      <c r="R54" s="67"/>
      <c r="S54" s="50">
        <v>28</v>
      </c>
      <c r="T54" s="74"/>
      <c r="U54" s="184"/>
      <c r="V54" s="89">
        <v>28</v>
      </c>
    </row>
    <row r="55" spans="4:22" ht="15.75" customHeight="1" thickBot="1" x14ac:dyDescent="0.3">
      <c r="D55" s="63">
        <v>77</v>
      </c>
      <c r="E55" s="57" t="s">
        <v>30</v>
      </c>
      <c r="F55" s="75" t="s">
        <v>26</v>
      </c>
      <c r="G55" s="69" t="s">
        <v>54</v>
      </c>
      <c r="H55" s="70" t="s">
        <v>28</v>
      </c>
      <c r="I55" s="75">
        <v>83</v>
      </c>
      <c r="J55" s="75">
        <v>62</v>
      </c>
      <c r="K55" s="185">
        <f>K$53-J55</f>
        <v>6</v>
      </c>
      <c r="L55" s="85">
        <f>I55+J55+K55</f>
        <v>151</v>
      </c>
      <c r="N55" s="63">
        <v>93</v>
      </c>
      <c r="O55" s="61" t="s">
        <v>33</v>
      </c>
      <c r="P55" s="77" t="s">
        <v>45</v>
      </c>
      <c r="Q55" s="69"/>
      <c r="R55" s="70"/>
      <c r="S55" s="75">
        <v>33</v>
      </c>
      <c r="T55" s="92"/>
      <c r="U55" s="187"/>
      <c r="V55" s="93">
        <v>33</v>
      </c>
    </row>
    <row r="56" spans="4:22" ht="15.75" customHeight="1" x14ac:dyDescent="0.25">
      <c r="D56" s="51"/>
      <c r="F56" s="51"/>
      <c r="G56" s="51"/>
      <c r="H56" s="51"/>
      <c r="I56" s="51"/>
      <c r="J56" s="51"/>
      <c r="K56" s="51"/>
      <c r="L56" s="51"/>
    </row>
    <row r="57" spans="4:22" ht="15.75" customHeight="1" x14ac:dyDescent="0.25">
      <c r="D57" s="51"/>
      <c r="F57" s="51"/>
      <c r="G57" s="51"/>
      <c r="H57" s="51"/>
      <c r="I57" s="51"/>
      <c r="J57" s="51"/>
      <c r="K57" s="51"/>
      <c r="L57" s="51"/>
    </row>
    <row r="58" spans="4:22" ht="15.75" customHeight="1" x14ac:dyDescent="0.25">
      <c r="D58" s="51"/>
      <c r="F58" s="51"/>
      <c r="G58" s="51"/>
      <c r="H58" s="51"/>
      <c r="I58" s="51"/>
      <c r="J58" s="51"/>
      <c r="K58" s="51"/>
      <c r="L58" s="51"/>
    </row>
    <row r="59" spans="4:22" ht="15.75" customHeight="1" x14ac:dyDescent="0.25">
      <c r="D59" s="51"/>
      <c r="F59" s="51"/>
      <c r="G59" s="51"/>
      <c r="H59" s="51"/>
      <c r="I59" s="51"/>
      <c r="J59" s="51"/>
      <c r="K59" s="51"/>
      <c r="L59" s="51"/>
    </row>
    <row r="60" spans="4:22" ht="14.25" customHeight="1" x14ac:dyDescent="0.25">
      <c r="D60" s="51"/>
      <c r="F60" s="51"/>
      <c r="G60" s="51"/>
      <c r="H60" s="51"/>
      <c r="I60" s="51"/>
      <c r="J60" s="51"/>
      <c r="K60" s="51"/>
      <c r="L60" s="51"/>
    </row>
    <row r="61" spans="4:22" x14ac:dyDescent="0.25">
      <c r="D61" s="51"/>
      <c r="F61" s="51"/>
      <c r="G61" s="51"/>
      <c r="H61" s="51"/>
      <c r="I61" s="51"/>
      <c r="J61" s="51"/>
      <c r="K61" s="51"/>
      <c r="L61" s="51"/>
    </row>
    <row r="62" spans="4:22" x14ac:dyDescent="0.25">
      <c r="D62" s="51"/>
      <c r="F62" s="51"/>
      <c r="G62" s="51"/>
      <c r="H62" s="51"/>
      <c r="I62" s="51"/>
      <c r="J62" s="51"/>
      <c r="K62" s="51"/>
      <c r="L62" s="51"/>
    </row>
    <row r="63" spans="4:22" x14ac:dyDescent="0.25">
      <c r="D63" s="51"/>
      <c r="F63" s="51"/>
      <c r="G63" s="51"/>
      <c r="H63" s="51"/>
      <c r="I63" s="51"/>
      <c r="J63" s="51"/>
      <c r="K63" s="51"/>
      <c r="L63" s="51"/>
    </row>
    <row r="64" spans="4:22" x14ac:dyDescent="0.25">
      <c r="D64" s="51"/>
      <c r="F64" s="51"/>
      <c r="G64" s="51"/>
      <c r="H64" s="51"/>
      <c r="I64" s="51"/>
      <c r="J64" s="51"/>
      <c r="K64" s="51"/>
      <c r="L64" s="51"/>
    </row>
    <row r="65" spans="4:12" x14ac:dyDescent="0.25">
      <c r="D65" s="51"/>
      <c r="F65" s="51"/>
      <c r="G65" s="51"/>
      <c r="H65" s="51"/>
      <c r="I65" s="51"/>
      <c r="J65" s="51"/>
      <c r="K65" s="51"/>
      <c r="L65" s="51"/>
    </row>
    <row r="66" spans="4:12" x14ac:dyDescent="0.25">
      <c r="D66" s="51"/>
      <c r="F66" s="51"/>
      <c r="G66" s="51"/>
      <c r="H66" s="51"/>
      <c r="I66" s="51"/>
      <c r="J66" s="51"/>
      <c r="K66" s="51"/>
      <c r="L66" s="51"/>
    </row>
    <row r="67" spans="4:12" x14ac:dyDescent="0.25">
      <c r="D67" s="51"/>
      <c r="F67" s="51"/>
      <c r="G67" s="51"/>
      <c r="H67" s="51"/>
      <c r="I67" s="51"/>
      <c r="J67" s="51"/>
      <c r="K67" s="51"/>
      <c r="L67" s="51"/>
    </row>
    <row r="68" spans="4:12" x14ac:dyDescent="0.25">
      <c r="D68" s="51"/>
      <c r="F68" s="51"/>
      <c r="G68" s="51"/>
      <c r="H68" s="51"/>
      <c r="I68" s="51"/>
      <c r="J68" s="51"/>
      <c r="K68" s="51"/>
      <c r="L68" s="51"/>
    </row>
    <row r="69" spans="4:12" x14ac:dyDescent="0.25">
      <c r="D69" s="51"/>
      <c r="F69" s="51"/>
      <c r="G69" s="51"/>
      <c r="H69" s="51"/>
      <c r="I69" s="51"/>
      <c r="J69" s="51"/>
      <c r="K69" s="51"/>
      <c r="L69" s="51"/>
    </row>
    <row r="70" spans="4:12" x14ac:dyDescent="0.25">
      <c r="D70" s="51"/>
      <c r="F70" s="51"/>
      <c r="G70" s="51"/>
      <c r="H70" s="51"/>
      <c r="I70" s="51"/>
      <c r="J70" s="51"/>
      <c r="K70" s="51"/>
      <c r="L70" s="51"/>
    </row>
    <row r="71" spans="4:12" x14ac:dyDescent="0.25">
      <c r="D71" s="51"/>
      <c r="F71" s="51"/>
      <c r="G71" s="51"/>
      <c r="H71" s="51"/>
      <c r="I71" s="51"/>
      <c r="J71" s="51"/>
      <c r="K71" s="51"/>
      <c r="L71" s="51"/>
    </row>
    <row r="72" spans="4:12" x14ac:dyDescent="0.25">
      <c r="D72" s="51"/>
      <c r="F72" s="51"/>
      <c r="G72" s="51"/>
      <c r="H72" s="51"/>
      <c r="I72" s="51"/>
      <c r="J72" s="51"/>
      <c r="K72" s="51"/>
      <c r="L72" s="51"/>
    </row>
    <row r="73" spans="4:12" x14ac:dyDescent="0.25">
      <c r="D73" s="51"/>
      <c r="F73" s="51"/>
      <c r="G73" s="51"/>
      <c r="H73" s="51"/>
      <c r="I73" s="51"/>
      <c r="J73" s="51"/>
      <c r="K73" s="51"/>
      <c r="L73" s="51"/>
    </row>
    <row r="74" spans="4:12" x14ac:dyDescent="0.25">
      <c r="D74" s="51"/>
      <c r="F74" s="51"/>
      <c r="G74" s="51"/>
      <c r="H74" s="51"/>
      <c r="I74" s="51"/>
      <c r="J74" s="51"/>
      <c r="K74" s="51"/>
      <c r="L74" s="51"/>
    </row>
    <row r="75" spans="4:12" x14ac:dyDescent="0.25">
      <c r="D75" s="51"/>
      <c r="F75" s="51"/>
      <c r="G75" s="51"/>
      <c r="H75" s="51"/>
      <c r="I75" s="51"/>
      <c r="J75" s="51"/>
      <c r="K75" s="51"/>
      <c r="L75" s="51"/>
    </row>
    <row r="76" spans="4:12" x14ac:dyDescent="0.25">
      <c r="D76" s="51"/>
      <c r="F76" s="51"/>
      <c r="G76" s="51"/>
      <c r="H76" s="51"/>
      <c r="I76" s="51"/>
      <c r="J76" s="51"/>
      <c r="K76" s="51"/>
      <c r="L76" s="51"/>
    </row>
    <row r="77" spans="4:12" x14ac:dyDescent="0.25">
      <c r="D77" s="51"/>
      <c r="F77" s="51"/>
      <c r="G77" s="51"/>
      <c r="H77" s="51"/>
      <c r="I77" s="51"/>
      <c r="J77" s="51"/>
      <c r="K77" s="51"/>
      <c r="L77" s="51"/>
    </row>
    <row r="78" spans="4:12" x14ac:dyDescent="0.25">
      <c r="D78" s="51"/>
      <c r="F78" s="51"/>
      <c r="G78" s="51"/>
      <c r="H78" s="51"/>
      <c r="I78" s="51"/>
      <c r="J78" s="51"/>
      <c r="K78" s="51"/>
      <c r="L78" s="51"/>
    </row>
    <row r="79" spans="4:12" x14ac:dyDescent="0.25">
      <c r="D79" s="51"/>
      <c r="F79" s="51"/>
      <c r="G79" s="51"/>
      <c r="H79" s="51"/>
      <c r="I79" s="51"/>
      <c r="J79" s="51"/>
      <c r="K79" s="51"/>
      <c r="L79" s="51"/>
    </row>
    <row r="80" spans="4:12" x14ac:dyDescent="0.25">
      <c r="D80" s="51"/>
      <c r="F80" s="51"/>
      <c r="G80" s="51"/>
      <c r="H80" s="51"/>
      <c r="I80" s="51"/>
      <c r="J80" s="51"/>
      <c r="K80" s="51"/>
      <c r="L80" s="51"/>
    </row>
    <row r="81" spans="4:12" x14ac:dyDescent="0.25">
      <c r="D81" s="51"/>
      <c r="F81" s="51"/>
      <c r="G81" s="51"/>
      <c r="H81" s="51"/>
      <c r="I81" s="51"/>
      <c r="J81" s="51"/>
      <c r="K81" s="51"/>
      <c r="L81" s="51"/>
    </row>
    <row r="82" spans="4:12" x14ac:dyDescent="0.25">
      <c r="D82" s="51"/>
      <c r="F82" s="51"/>
      <c r="G82" s="51"/>
      <c r="H82" s="51"/>
      <c r="I82" s="51"/>
      <c r="J82" s="51"/>
      <c r="K82" s="51"/>
      <c r="L82" s="51"/>
    </row>
    <row r="83" spans="4:12" x14ac:dyDescent="0.25">
      <c r="D83" s="51"/>
      <c r="F83" s="51"/>
      <c r="G83" s="51"/>
      <c r="H83" s="51"/>
      <c r="I83" s="51"/>
      <c r="J83" s="51"/>
      <c r="K83" s="51"/>
      <c r="L83" s="51"/>
    </row>
    <row r="84" spans="4:12" x14ac:dyDescent="0.25">
      <c r="D84" s="51"/>
      <c r="F84" s="51"/>
      <c r="G84" s="51"/>
      <c r="H84" s="51"/>
      <c r="I84" s="51"/>
      <c r="J84" s="51"/>
      <c r="K84" s="51"/>
      <c r="L84" s="51"/>
    </row>
    <row r="85" spans="4:12" x14ac:dyDescent="0.25">
      <c r="D85" s="51"/>
      <c r="F85" s="51"/>
      <c r="G85" s="51"/>
      <c r="H85" s="51"/>
      <c r="I85" s="51"/>
      <c r="J85" s="51"/>
      <c r="K85" s="51"/>
      <c r="L85" s="51"/>
    </row>
    <row r="86" spans="4:12" x14ac:dyDescent="0.25">
      <c r="D86" s="51"/>
      <c r="F86" s="51"/>
      <c r="G86" s="51"/>
      <c r="H86" s="51"/>
      <c r="I86" s="51"/>
      <c r="J86" s="51"/>
      <c r="K86" s="51"/>
      <c r="L86" s="51"/>
    </row>
    <row r="87" spans="4:12" x14ac:dyDescent="0.25">
      <c r="D87" s="51"/>
      <c r="F87" s="51"/>
      <c r="G87" s="51"/>
      <c r="H87" s="51"/>
      <c r="I87" s="51"/>
      <c r="J87" s="51"/>
      <c r="K87" s="51"/>
      <c r="L87" s="51"/>
    </row>
    <row r="88" spans="4:12" x14ac:dyDescent="0.25">
      <c r="D88" s="51"/>
      <c r="F88" s="51"/>
      <c r="G88" s="51"/>
      <c r="H88" s="51"/>
      <c r="I88" s="51"/>
      <c r="J88" s="51"/>
      <c r="K88" s="51"/>
      <c r="L88" s="51"/>
    </row>
    <row r="89" spans="4:12" x14ac:dyDescent="0.25">
      <c r="D89" s="51"/>
      <c r="F89" s="51"/>
      <c r="G89" s="51"/>
      <c r="H89" s="51"/>
      <c r="I89" s="51"/>
      <c r="J89" s="51"/>
      <c r="K89" s="51"/>
      <c r="L89" s="51"/>
    </row>
    <row r="90" spans="4:12" x14ac:dyDescent="0.25">
      <c r="D90" s="51"/>
      <c r="F90" s="51"/>
      <c r="G90" s="51"/>
      <c r="H90" s="51"/>
      <c r="I90" s="51"/>
      <c r="J90" s="51"/>
      <c r="K90" s="51"/>
      <c r="L90" s="51"/>
    </row>
    <row r="91" spans="4:12" x14ac:dyDescent="0.25">
      <c r="D91" s="51"/>
      <c r="F91" s="51"/>
      <c r="G91" s="51"/>
      <c r="H91" s="51"/>
      <c r="I91" s="51"/>
      <c r="J91" s="51"/>
      <c r="K91" s="51"/>
      <c r="L91" s="51"/>
    </row>
    <row r="92" spans="4:12" x14ac:dyDescent="0.25">
      <c r="D92" s="51"/>
      <c r="F92" s="51"/>
      <c r="G92" s="51"/>
      <c r="H92" s="51"/>
      <c r="I92" s="51"/>
      <c r="J92" s="51"/>
      <c r="K92" s="51"/>
      <c r="L92" s="51"/>
    </row>
    <row r="93" spans="4:12" x14ac:dyDescent="0.25">
      <c r="D93" s="51"/>
      <c r="F93" s="51"/>
      <c r="G93" s="51"/>
      <c r="H93" s="51"/>
      <c r="I93" s="51"/>
      <c r="J93" s="51"/>
      <c r="K93" s="51"/>
      <c r="L93" s="51"/>
    </row>
    <row r="94" spans="4:12" x14ac:dyDescent="0.25">
      <c r="D94" s="51"/>
      <c r="F94" s="51"/>
      <c r="G94" s="51"/>
      <c r="H94" s="51"/>
      <c r="I94" s="51"/>
      <c r="J94" s="51"/>
      <c r="K94" s="51"/>
      <c r="L94" s="51"/>
    </row>
    <row r="95" spans="4:12" x14ac:dyDescent="0.25">
      <c r="D95" s="51"/>
      <c r="F95" s="51"/>
      <c r="G95" s="51"/>
      <c r="H95" s="51"/>
      <c r="I95" s="51"/>
      <c r="J95" s="51"/>
      <c r="K95" s="51"/>
      <c r="L95" s="51"/>
    </row>
    <row r="96" spans="4:12" x14ac:dyDescent="0.25">
      <c r="D96" s="51"/>
      <c r="F96" s="51"/>
      <c r="G96" s="51"/>
      <c r="H96" s="51"/>
      <c r="I96" s="51"/>
      <c r="J96" s="51"/>
      <c r="K96" s="51"/>
      <c r="L96" s="51"/>
    </row>
    <row r="97" spans="5:12" x14ac:dyDescent="0.25">
      <c r="E97" s="63"/>
      <c r="F97" s="64"/>
      <c r="I97" s="64"/>
      <c r="J97" s="64"/>
      <c r="K97" s="182"/>
      <c r="L97" s="64"/>
    </row>
    <row r="109" spans="5:12" ht="15.75" customHeight="1" x14ac:dyDescent="0.25"/>
  </sheetData>
  <sheetProtection algorithmName="SHA-512" hashValue="PUPvJIJcZf7N+/mG6mdP7N9mxaTen8RPZcoA2sGxzhHBMVhGw4keTZxgda4y4vma4okIRoHHs2rQ+T1ehytEpw==" saltValue="OrFnBfCP5RTJNN8YqPBhzQ==" spinCount="100000" sheet="1" objects="1" scenarios="1" selectLockedCells="1" selectUnlockedCells="1"/>
  <mergeCells count="14">
    <mergeCell ref="E44:J44"/>
    <mergeCell ref="E49:J49"/>
    <mergeCell ref="E53:J53"/>
    <mergeCell ref="E3:F3"/>
    <mergeCell ref="E4:J4"/>
    <mergeCell ref="E17:J17"/>
    <mergeCell ref="O39:T39"/>
    <mergeCell ref="H3:I3"/>
    <mergeCell ref="E28:J28"/>
    <mergeCell ref="O25:T25"/>
    <mergeCell ref="E37:J37"/>
    <mergeCell ref="O33:T33"/>
    <mergeCell ref="O3:T3"/>
    <mergeCell ref="O15:T15"/>
  </mergeCells>
  <printOptions horizontalCentered="1" verticalCentered="1"/>
  <pageMargins left="0" right="0" top="0" bottom="0" header="0" footer="0"/>
  <pageSetup paperSize="9" scale="90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S59"/>
  <sheetViews>
    <sheetView tabSelected="1" workbookViewId="0">
      <selection activeCell="D3" sqref="D3"/>
    </sheetView>
  </sheetViews>
  <sheetFormatPr defaultRowHeight="15" x14ac:dyDescent="0.25"/>
  <cols>
    <col min="1" max="1" width="0.85546875" style="111" customWidth="1"/>
    <col min="2" max="3" width="5.7109375" style="111" customWidth="1"/>
    <col min="4" max="4" width="4" style="105" customWidth="1"/>
    <col min="5" max="5" width="4.7109375" style="106" customWidth="1"/>
    <col min="6" max="6" width="6.7109375" style="107" customWidth="1"/>
    <col min="7" max="7" width="6.140625" style="106" customWidth="1"/>
    <col min="8" max="8" width="2.85546875" style="107" customWidth="1"/>
    <col min="9" max="9" width="6.140625" style="106" customWidth="1"/>
    <col min="10" max="11" width="4.42578125" style="106" customWidth="1"/>
    <col min="12" max="13" width="5.140625" style="107" customWidth="1"/>
    <col min="14" max="14" width="4.85546875" style="107" customWidth="1"/>
    <col min="15" max="15" width="5.28515625" style="108" hidden="1" customWidth="1"/>
    <col min="16" max="16" width="5.28515625" style="167" hidden="1" customWidth="1"/>
    <col min="17" max="17" width="1.85546875" style="108" customWidth="1"/>
    <col min="18" max="18" width="5" style="108" customWidth="1"/>
    <col min="19" max="19" width="8.42578125" style="109" customWidth="1"/>
    <col min="20" max="20" width="4.7109375" style="109" customWidth="1"/>
    <col min="21" max="21" width="4.7109375" style="108" customWidth="1"/>
    <col min="22" max="22" width="5.7109375" style="108" customWidth="1"/>
    <col min="23" max="23" width="2.42578125" style="108" customWidth="1"/>
    <col min="24" max="24" width="6" style="108" customWidth="1"/>
    <col min="25" max="25" width="9.140625" style="108" customWidth="1"/>
    <col min="26" max="31" width="5" style="108" customWidth="1"/>
    <col min="32" max="36" width="5" style="110" customWidth="1"/>
    <col min="37" max="42" width="3.5703125" style="110" hidden="1" customWidth="1"/>
    <col min="43" max="44" width="3.5703125" style="111" hidden="1" customWidth="1"/>
    <col min="45" max="50" width="3.5703125" style="111" customWidth="1"/>
    <col min="51" max="16384" width="9.140625" style="111"/>
  </cols>
  <sheetData>
    <row r="1" spans="2:45" ht="6.75" customHeight="1" thickBot="1" x14ac:dyDescent="0.3"/>
    <row r="2" spans="2:45" ht="18.75" customHeight="1" thickTop="1" x14ac:dyDescent="0.25">
      <c r="D2" s="112" t="s">
        <v>61</v>
      </c>
      <c r="E2" s="113" t="s">
        <v>46</v>
      </c>
      <c r="F2" s="114" t="s">
        <v>52</v>
      </c>
      <c r="G2" s="113" t="s">
        <v>47</v>
      </c>
      <c r="H2" s="113"/>
      <c r="I2" s="113"/>
      <c r="J2" s="114" t="s">
        <v>48</v>
      </c>
      <c r="K2" s="114" t="s">
        <v>49</v>
      </c>
      <c r="L2" s="114" t="s">
        <v>50</v>
      </c>
      <c r="M2" s="114" t="s">
        <v>51</v>
      </c>
      <c r="N2" s="115" t="s">
        <v>53</v>
      </c>
      <c r="O2" s="116"/>
      <c r="P2" s="168"/>
      <c r="Y2" s="221" t="s">
        <v>29</v>
      </c>
      <c r="Z2" s="222"/>
      <c r="AF2" s="108"/>
      <c r="AG2" s="108"/>
      <c r="AH2" s="108"/>
      <c r="AI2" s="108"/>
      <c r="AJ2" s="108"/>
    </row>
    <row r="3" spans="2:45" ht="18.75" customHeight="1" x14ac:dyDescent="0.25">
      <c r="C3" s="217" t="s">
        <v>67</v>
      </c>
      <c r="D3" s="101">
        <v>1</v>
      </c>
      <c r="E3" s="117">
        <v>1</v>
      </c>
      <c r="F3" s="118">
        <f>VLOOKUP($D3,tabelle!$D$6:$L$110,9, FALSE)</f>
        <v>393</v>
      </c>
      <c r="G3" s="117" t="str">
        <f>VLOOKUP($D3,tabelle!$D$6:$L$110,3, FALSE)</f>
        <v>Drvr</v>
      </c>
      <c r="H3" s="117" t="str">
        <f>IF(J3=3,"","+")</f>
        <v>+</v>
      </c>
      <c r="I3" s="117" t="str">
        <f>IF(J3=3,"",VLOOKUP($D3,tabelle!$D$6:$L$110,5,FALSE))</f>
        <v>Wd 3</v>
      </c>
      <c r="J3" s="118">
        <f>RIGHT(VLOOKUP($D3,tabelle!$D$6:$L$110,2, FALSE),1)*1</f>
        <v>4</v>
      </c>
      <c r="K3" s="118">
        <f>VLOOKUP($D3,tabelle!$D$6:$L$110,6, FALSE)</f>
        <v>200</v>
      </c>
      <c r="L3" s="118">
        <f>IF(J3=3,"",VLOOKUP($D3,tabelle!$D$6:$L$110,7,FALSE))</f>
        <v>193</v>
      </c>
      <c r="M3" s="119" t="str">
        <f>IF(OR(J3=3,J3=4),"",VLOOKUP($D3,tabelle!$D$6:$L$110,8,FALSE))</f>
        <v/>
      </c>
      <c r="N3" s="223" t="s">
        <v>60</v>
      </c>
      <c r="O3" s="120"/>
      <c r="P3" s="139"/>
      <c r="Q3" s="121"/>
      <c r="X3" s="162" t="s">
        <v>56</v>
      </c>
      <c r="Y3" s="122" t="s">
        <v>16</v>
      </c>
      <c r="Z3" s="95">
        <v>200</v>
      </c>
      <c r="AA3" s="123">
        <v>190</v>
      </c>
      <c r="AB3" s="123">
        <v>180</v>
      </c>
      <c r="AC3" s="123">
        <v>170</v>
      </c>
      <c r="AD3" s="123">
        <v>160</v>
      </c>
      <c r="AE3" s="123">
        <v>150</v>
      </c>
      <c r="AF3" s="123">
        <v>140</v>
      </c>
      <c r="AG3" s="123">
        <v>130</v>
      </c>
      <c r="AH3" s="123">
        <v>120</v>
      </c>
      <c r="AI3" s="123">
        <v>110</v>
      </c>
      <c r="AJ3" s="124">
        <v>100</v>
      </c>
      <c r="AK3" s="125">
        <f t="shared" ref="AK3:AQ3" si="0">AD8</f>
        <v>103</v>
      </c>
      <c r="AL3" s="125">
        <f t="shared" si="0"/>
        <v>97</v>
      </c>
      <c r="AM3" s="125">
        <f t="shared" si="0"/>
        <v>90</v>
      </c>
      <c r="AN3" s="125">
        <f t="shared" si="0"/>
        <v>84</v>
      </c>
      <c r="AO3" s="125">
        <f t="shared" si="0"/>
        <v>77</v>
      </c>
      <c r="AP3" s="125">
        <f t="shared" si="0"/>
        <v>71</v>
      </c>
      <c r="AQ3" s="126">
        <f t="shared" si="0"/>
        <v>65</v>
      </c>
      <c r="AR3" s="127"/>
      <c r="AS3" s="127"/>
    </row>
    <row r="4" spans="2:45" ht="18.75" customHeight="1" x14ac:dyDescent="0.25">
      <c r="C4" s="217"/>
      <c r="D4" s="101">
        <v>5</v>
      </c>
      <c r="E4" s="128">
        <v>2</v>
      </c>
      <c r="F4" s="120">
        <f>VLOOKUP($D4,tabelle!$D$6:$L$110,9, FALSE)</f>
        <v>385</v>
      </c>
      <c r="G4" s="128" t="str">
        <f>VLOOKUP($D4,tabelle!$D$6:$L$110,3, FALSE)</f>
        <v>Drvr</v>
      </c>
      <c r="H4" s="128" t="str">
        <f t="shared" ref="H4:H11" si="1">IF(J4=3,"","+")</f>
        <v>+</v>
      </c>
      <c r="I4" s="128" t="str">
        <f>IF(J4=3,"",VLOOKUP($D4,tabelle!$D$6:$L$110,5,FALSE))</f>
        <v>fe 6</v>
      </c>
      <c r="J4" s="120">
        <f>RIGHT(VLOOKUP($D4,tabelle!$D$6:$L$110,2, FALSE),1)*1</f>
        <v>5</v>
      </c>
      <c r="K4" s="120">
        <f>VLOOKUP($D4,tabelle!$D$6:$L$110,6, FALSE)</f>
        <v>200</v>
      </c>
      <c r="L4" s="120">
        <f>IF(J4=3,"",VLOOKUP($D4,tabelle!$D$6:$L$110,7,FALSE))</f>
        <v>129</v>
      </c>
      <c r="M4" s="129">
        <f>IF(OR(J4=3,J4=4),"",VLOOKUP($D4,tabelle!$D$6:$L$110,8,FALSE))</f>
        <v>56</v>
      </c>
      <c r="N4" s="223"/>
      <c r="O4" s="120"/>
      <c r="P4" s="139"/>
      <c r="X4" s="163" t="s">
        <v>37</v>
      </c>
      <c r="Y4" s="130" t="s">
        <v>17</v>
      </c>
      <c r="Z4" s="96">
        <v>193</v>
      </c>
      <c r="AA4" s="131">
        <f t="shared" ref="AA4:AJ15" si="2">ROUND(AA$19*$Z4,0)</f>
        <v>183</v>
      </c>
      <c r="AB4" s="131">
        <f t="shared" si="2"/>
        <v>174</v>
      </c>
      <c r="AC4" s="131">
        <f t="shared" si="2"/>
        <v>164</v>
      </c>
      <c r="AD4" s="131">
        <f t="shared" si="2"/>
        <v>154</v>
      </c>
      <c r="AE4" s="131">
        <f t="shared" si="2"/>
        <v>145</v>
      </c>
      <c r="AF4" s="131">
        <f t="shared" si="2"/>
        <v>135</v>
      </c>
      <c r="AG4" s="131">
        <f t="shared" si="2"/>
        <v>125</v>
      </c>
      <c r="AH4" s="131">
        <f t="shared" si="2"/>
        <v>116</v>
      </c>
      <c r="AI4" s="131">
        <f t="shared" si="2"/>
        <v>106</v>
      </c>
      <c r="AJ4" s="132">
        <f t="shared" si="2"/>
        <v>97</v>
      </c>
    </row>
    <row r="5" spans="2:45" ht="18.75" customHeight="1" x14ac:dyDescent="0.25">
      <c r="C5" s="217"/>
      <c r="D5" s="101">
        <v>9</v>
      </c>
      <c r="E5" s="128">
        <v>3</v>
      </c>
      <c r="F5" s="120">
        <f>VLOOKUP($D5,tabelle!$D$6:$L$110,9, FALSE)</f>
        <v>385</v>
      </c>
      <c r="G5" s="128" t="str">
        <f>VLOOKUP($D5,tabelle!$D$6:$L$110,3, FALSE)</f>
        <v>Drvr</v>
      </c>
      <c r="H5" s="128" t="str">
        <f t="shared" si="1"/>
        <v>+</v>
      </c>
      <c r="I5" s="128" t="str">
        <f>IF(J5=3,"",VLOOKUP($D5,tabelle!$D$6:$L$110,5,FALSE))</f>
        <v>pitch</v>
      </c>
      <c r="J5" s="120">
        <f>RIGHT(VLOOKUP($D5,tabelle!$D$6:$L$110,2, FALSE),1)*1</f>
        <v>5</v>
      </c>
      <c r="K5" s="120">
        <f>VLOOKUP($D5,tabelle!$D$6:$L$110,6, FALSE)</f>
        <v>200</v>
      </c>
      <c r="L5" s="120">
        <f>IF(J5=3,"",VLOOKUP($D5,tabelle!$D$6:$L$110,7,FALSE))</f>
        <v>91</v>
      </c>
      <c r="M5" s="129">
        <f>IF(OR(J5=3,J5=4),"",VLOOKUP($D5,tabelle!$D$6:$L$110,8,FALSE))</f>
        <v>94</v>
      </c>
      <c r="N5" s="223"/>
      <c r="O5" s="120"/>
      <c r="P5" s="139"/>
      <c r="X5" s="163" t="s">
        <v>38</v>
      </c>
      <c r="Y5" s="130" t="s">
        <v>18</v>
      </c>
      <c r="Z5" s="97">
        <v>175</v>
      </c>
      <c r="AA5" s="131">
        <f t="shared" si="2"/>
        <v>166</v>
      </c>
      <c r="AB5" s="131">
        <f t="shared" si="2"/>
        <v>158</v>
      </c>
      <c r="AC5" s="131">
        <f t="shared" si="2"/>
        <v>149</v>
      </c>
      <c r="AD5" s="131">
        <f t="shared" si="2"/>
        <v>140</v>
      </c>
      <c r="AE5" s="131">
        <f t="shared" si="2"/>
        <v>131</v>
      </c>
      <c r="AF5" s="131">
        <f t="shared" si="2"/>
        <v>123</v>
      </c>
      <c r="AG5" s="131">
        <f t="shared" si="2"/>
        <v>114</v>
      </c>
      <c r="AH5" s="131">
        <f t="shared" si="2"/>
        <v>105</v>
      </c>
      <c r="AI5" s="131">
        <f t="shared" si="2"/>
        <v>96</v>
      </c>
      <c r="AJ5" s="132">
        <f t="shared" si="2"/>
        <v>88</v>
      </c>
    </row>
    <row r="6" spans="2:45" ht="18.75" customHeight="1" x14ac:dyDescent="0.25">
      <c r="C6" s="217"/>
      <c r="D6" s="101">
        <v>13</v>
      </c>
      <c r="E6" s="128">
        <v>4</v>
      </c>
      <c r="F6" s="120">
        <f>VLOOKUP($D6,tabelle!$D$6:$L$110,9, FALSE)</f>
        <v>368</v>
      </c>
      <c r="G6" s="128" t="str">
        <f>VLOOKUP($D6,tabelle!$D$6:$L$110,3, FALSE)</f>
        <v>Wd 3</v>
      </c>
      <c r="H6" s="128" t="str">
        <f t="shared" si="1"/>
        <v>+</v>
      </c>
      <c r="I6" s="128" t="str">
        <f>IF(J6=3,"",VLOOKUP($D6,tabelle!$D$6:$L$110,5,FALSE))</f>
        <v>Wd 5</v>
      </c>
      <c r="J6" s="120">
        <f>RIGHT(VLOOKUP($D6,tabelle!$D$6:$L$110,2, FALSE),1)*1</f>
        <v>4</v>
      </c>
      <c r="K6" s="120">
        <f>VLOOKUP($D6,tabelle!$D$6:$L$110,6, FALSE)</f>
        <v>193</v>
      </c>
      <c r="L6" s="120">
        <f>IF(J6=3,"",VLOOKUP($D6,tabelle!$D$6:$L$110,7,FALSE))</f>
        <v>175</v>
      </c>
      <c r="M6" s="129" t="str">
        <f>IF(OR(J6=3,J6=4),"",VLOOKUP($D6,tabelle!$D$6:$L$110,8,FALSE))</f>
        <v/>
      </c>
      <c r="N6" s="223"/>
      <c r="O6" s="120"/>
      <c r="P6" s="139"/>
      <c r="X6" s="163" t="s">
        <v>39</v>
      </c>
      <c r="Y6" s="130" t="s">
        <v>19</v>
      </c>
      <c r="Z6" s="97">
        <v>157</v>
      </c>
      <c r="AA6" s="131">
        <f t="shared" si="2"/>
        <v>149</v>
      </c>
      <c r="AB6" s="131">
        <f t="shared" si="2"/>
        <v>141</v>
      </c>
      <c r="AC6" s="131">
        <f t="shared" si="2"/>
        <v>133</v>
      </c>
      <c r="AD6" s="131">
        <f t="shared" si="2"/>
        <v>126</v>
      </c>
      <c r="AE6" s="131">
        <f t="shared" si="2"/>
        <v>118</v>
      </c>
      <c r="AF6" s="131">
        <f t="shared" si="2"/>
        <v>110</v>
      </c>
      <c r="AG6" s="131">
        <f t="shared" si="2"/>
        <v>102</v>
      </c>
      <c r="AH6" s="131">
        <f t="shared" si="2"/>
        <v>94</v>
      </c>
      <c r="AI6" s="131">
        <f t="shared" si="2"/>
        <v>86</v>
      </c>
      <c r="AJ6" s="132">
        <f t="shared" si="2"/>
        <v>79</v>
      </c>
    </row>
    <row r="7" spans="2:45" ht="18.75" customHeight="1" x14ac:dyDescent="0.25">
      <c r="C7" s="217"/>
      <c r="D7" s="101">
        <v>22</v>
      </c>
      <c r="E7" s="128">
        <v>5</v>
      </c>
      <c r="F7" s="120">
        <f>VLOOKUP($D7,tabelle!$D$6:$L$110,9, FALSE)</f>
        <v>371</v>
      </c>
      <c r="G7" s="128" t="str">
        <f>VLOOKUP($D7,tabelle!$D$6:$L$110,3, FALSE)</f>
        <v>Wd 3</v>
      </c>
      <c r="H7" s="128" t="str">
        <f t="shared" si="1"/>
        <v>+</v>
      </c>
      <c r="I7" s="128" t="str">
        <f>IF(J7=3,"",VLOOKUP($D7,tabelle!$D$6:$L$110,5,FALSE))</f>
        <v>sand</v>
      </c>
      <c r="J7" s="120">
        <f>RIGHT(VLOOKUP($D7,tabelle!$D$6:$L$110,2, FALSE),1)*1</f>
        <v>5</v>
      </c>
      <c r="K7" s="120">
        <f>VLOOKUP($D7,tabelle!$D$6:$L$110,6, FALSE)</f>
        <v>193</v>
      </c>
      <c r="L7" s="120">
        <f>IF(J7=3,"",VLOOKUP($D7,tabelle!$D$6:$L$110,7,FALSE))</f>
        <v>70</v>
      </c>
      <c r="M7" s="129">
        <f>IF(OR(J7=3,J7=4),"",VLOOKUP($D7,tabelle!$D$6:$L$110,8,FALSE))</f>
        <v>108</v>
      </c>
      <c r="N7" s="223"/>
      <c r="O7" s="120"/>
      <c r="P7" s="139"/>
      <c r="X7" s="163" t="s">
        <v>40</v>
      </c>
      <c r="Y7" s="130" t="s">
        <v>20</v>
      </c>
      <c r="Z7" s="96">
        <v>138</v>
      </c>
      <c r="AA7" s="131">
        <f t="shared" si="2"/>
        <v>131</v>
      </c>
      <c r="AB7" s="131">
        <f t="shared" si="2"/>
        <v>124</v>
      </c>
      <c r="AC7" s="131">
        <f t="shared" si="2"/>
        <v>117</v>
      </c>
      <c r="AD7" s="131">
        <f t="shared" si="2"/>
        <v>110</v>
      </c>
      <c r="AE7" s="131">
        <f t="shared" si="2"/>
        <v>104</v>
      </c>
      <c r="AF7" s="131">
        <f t="shared" si="2"/>
        <v>97</v>
      </c>
      <c r="AG7" s="131">
        <f t="shared" si="2"/>
        <v>90</v>
      </c>
      <c r="AH7" s="131">
        <f t="shared" si="2"/>
        <v>83</v>
      </c>
      <c r="AI7" s="131">
        <f t="shared" si="2"/>
        <v>76</v>
      </c>
      <c r="AJ7" s="132">
        <f t="shared" si="2"/>
        <v>69</v>
      </c>
    </row>
    <row r="8" spans="2:45" ht="18.75" customHeight="1" x14ac:dyDescent="0.25">
      <c r="C8" s="217"/>
      <c r="D8" s="101">
        <v>78</v>
      </c>
      <c r="E8" s="128">
        <v>6</v>
      </c>
      <c r="F8" s="120">
        <f>VLOOKUP($D8,tabelle!$D$6:$L$110,9, FALSE)</f>
        <v>125</v>
      </c>
      <c r="G8" s="128" t="str">
        <f>VLOOKUP($D8,tabelle!$D$6:$L$110,3, FALSE)</f>
        <v>sand</v>
      </c>
      <c r="H8" s="128" t="str">
        <f t="shared" si="1"/>
        <v>+</v>
      </c>
      <c r="I8" s="128" t="str">
        <f>IF(J8=3,"",VLOOKUP($D8,tabelle!$D$6:$L$110,5,FALSE))</f>
        <v>lob</v>
      </c>
      <c r="J8" s="120">
        <f>RIGHT(VLOOKUP($D8,tabelle!$D$6:$L$110,2, FALSE),1)*1</f>
        <v>4</v>
      </c>
      <c r="K8" s="120">
        <f>VLOOKUP($D8,tabelle!$D$6:$L$110,6, FALSE)</f>
        <v>70</v>
      </c>
      <c r="L8" s="120">
        <f>IF(J8=3,"",VLOOKUP($D8,tabelle!$D$6:$L$110,7,FALSE))</f>
        <v>62</v>
      </c>
      <c r="M8" s="129" t="str">
        <f>IF(OR(J8=3,J8=4),"",VLOOKUP($D8,tabelle!$D$6:$L$110,8,FALSE))</f>
        <v/>
      </c>
      <c r="N8" s="223"/>
      <c r="O8" s="120"/>
      <c r="P8" s="139"/>
      <c r="X8" s="163" t="s">
        <v>41</v>
      </c>
      <c r="Y8" s="122" t="s">
        <v>21</v>
      </c>
      <c r="Z8" s="95">
        <v>129</v>
      </c>
      <c r="AA8" s="123">
        <f t="shared" si="2"/>
        <v>123</v>
      </c>
      <c r="AB8" s="123">
        <f t="shared" si="2"/>
        <v>116</v>
      </c>
      <c r="AC8" s="123">
        <f t="shared" si="2"/>
        <v>110</v>
      </c>
      <c r="AD8" s="123">
        <f t="shared" si="2"/>
        <v>103</v>
      </c>
      <c r="AE8" s="123">
        <f t="shared" si="2"/>
        <v>97</v>
      </c>
      <c r="AF8" s="123">
        <f t="shared" si="2"/>
        <v>90</v>
      </c>
      <c r="AG8" s="123">
        <f t="shared" si="2"/>
        <v>84</v>
      </c>
      <c r="AH8" s="123">
        <f t="shared" si="2"/>
        <v>77</v>
      </c>
      <c r="AI8" s="123">
        <f t="shared" si="2"/>
        <v>71</v>
      </c>
      <c r="AJ8" s="124">
        <f t="shared" si="2"/>
        <v>65</v>
      </c>
    </row>
    <row r="9" spans="2:45" ht="18.75" customHeight="1" x14ac:dyDescent="0.25">
      <c r="C9" s="217"/>
      <c r="D9" s="101">
        <v>82</v>
      </c>
      <c r="E9" s="128">
        <v>7</v>
      </c>
      <c r="F9" s="120">
        <f>VLOOKUP($D9,tabelle!$D$6:$L$110,9, FALSE)</f>
        <v>157</v>
      </c>
      <c r="G9" s="128" t="str">
        <f>VLOOKUP($D9,tabelle!$D$6:$L$110,3, FALSE)</f>
        <v>Wd 7</v>
      </c>
      <c r="H9" s="128" t="str">
        <f t="shared" si="1"/>
        <v/>
      </c>
      <c r="I9" s="128" t="str">
        <f>IF(J9=3,"",VLOOKUP($D9,tabelle!$D$6:$L$110,5,FALSE))</f>
        <v/>
      </c>
      <c r="J9" s="120">
        <f>RIGHT(VLOOKUP($D9,tabelle!$D$6:$L$110,2, FALSE),1)*1</f>
        <v>3</v>
      </c>
      <c r="K9" s="120">
        <f>VLOOKUP($D9,tabelle!$D$6:$L$110,6, FALSE)</f>
        <v>157</v>
      </c>
      <c r="L9" s="120" t="str">
        <f>IF(J9=3,"",VLOOKUP($D9,tabelle!$D$6:$L$110,7,FALSE))</f>
        <v/>
      </c>
      <c r="M9" s="129" t="str">
        <f>IF(OR(J9=3,J9=4),"",VLOOKUP($D9,tabelle!$D$6:$L$110,8,FALSE))</f>
        <v/>
      </c>
      <c r="N9" s="223"/>
      <c r="O9" s="173">
        <f>tabelle!G4</f>
        <v>15</v>
      </c>
      <c r="P9" s="139"/>
      <c r="X9" s="163" t="s">
        <v>42</v>
      </c>
      <c r="Y9" s="130" t="s">
        <v>22</v>
      </c>
      <c r="Z9" s="96">
        <v>121</v>
      </c>
      <c r="AA9" s="131">
        <f t="shared" si="2"/>
        <v>115</v>
      </c>
      <c r="AB9" s="131">
        <f t="shared" si="2"/>
        <v>109</v>
      </c>
      <c r="AC9" s="131">
        <f t="shared" si="2"/>
        <v>103</v>
      </c>
      <c r="AD9" s="131">
        <f t="shared" si="2"/>
        <v>97</v>
      </c>
      <c r="AE9" s="131">
        <f t="shared" si="2"/>
        <v>91</v>
      </c>
      <c r="AF9" s="131">
        <f t="shared" si="2"/>
        <v>85</v>
      </c>
      <c r="AG9" s="131">
        <f t="shared" si="2"/>
        <v>79</v>
      </c>
      <c r="AH9" s="131">
        <f t="shared" si="2"/>
        <v>73</v>
      </c>
      <c r="AI9" s="131">
        <f t="shared" si="2"/>
        <v>67</v>
      </c>
      <c r="AJ9" s="132">
        <f t="shared" si="2"/>
        <v>61</v>
      </c>
    </row>
    <row r="10" spans="2:45" ht="18.75" customHeight="1" x14ac:dyDescent="0.25">
      <c r="C10" s="217"/>
      <c r="D10" s="101">
        <v>84</v>
      </c>
      <c r="E10" s="128">
        <v>8</v>
      </c>
      <c r="F10" s="120">
        <f>VLOOKUP($D10,tabelle!$D$6:$L$110,9, FALSE)</f>
        <v>129</v>
      </c>
      <c r="G10" s="128" t="str">
        <f>VLOOKUP($D10,tabelle!$D$6:$L$110,3, FALSE)</f>
        <v>fe 6</v>
      </c>
      <c r="H10" s="128" t="str">
        <f t="shared" si="1"/>
        <v/>
      </c>
      <c r="I10" s="128" t="str">
        <f>IF(J10=3,"",VLOOKUP($D10,tabelle!$D$6:$L$110,5,FALSE))</f>
        <v/>
      </c>
      <c r="J10" s="120">
        <f>RIGHT(VLOOKUP($D10,tabelle!$D$6:$L$110,2, FALSE),1)*1</f>
        <v>3</v>
      </c>
      <c r="K10" s="120">
        <f>VLOOKUP($D10,tabelle!$D$6:$L$110,6, FALSE)</f>
        <v>129</v>
      </c>
      <c r="L10" s="120" t="str">
        <f>IF(J10=3,"",VLOOKUP($D10,tabelle!$D$6:$L$110,7,FALSE))</f>
        <v/>
      </c>
      <c r="M10" s="129" t="str">
        <f>IF(OR(J10=3,J10=4),"",VLOOKUP($D10,tabelle!$D$6:$L$110,8,FALSE))</f>
        <v/>
      </c>
      <c r="N10" s="223"/>
      <c r="O10" s="137" t="s">
        <v>49</v>
      </c>
      <c r="P10" s="139"/>
      <c r="X10" s="163" t="s">
        <v>43</v>
      </c>
      <c r="Y10" s="130" t="s">
        <v>23</v>
      </c>
      <c r="Z10" s="97">
        <v>112</v>
      </c>
      <c r="AA10" s="131">
        <f t="shared" si="2"/>
        <v>106</v>
      </c>
      <c r="AB10" s="131">
        <f t="shared" si="2"/>
        <v>101</v>
      </c>
      <c r="AC10" s="131">
        <f t="shared" si="2"/>
        <v>95</v>
      </c>
      <c r="AD10" s="131">
        <f t="shared" si="2"/>
        <v>90</v>
      </c>
      <c r="AE10" s="131">
        <f t="shared" si="2"/>
        <v>84</v>
      </c>
      <c r="AF10" s="131">
        <f t="shared" si="2"/>
        <v>78</v>
      </c>
      <c r="AG10" s="131">
        <f t="shared" si="2"/>
        <v>73</v>
      </c>
      <c r="AH10" s="131">
        <f t="shared" si="2"/>
        <v>67</v>
      </c>
      <c r="AI10" s="131">
        <f t="shared" si="2"/>
        <v>62</v>
      </c>
      <c r="AJ10" s="132">
        <f t="shared" si="2"/>
        <v>56</v>
      </c>
    </row>
    <row r="11" spans="2:45" ht="18.75" customHeight="1" thickBot="1" x14ac:dyDescent="0.3">
      <c r="C11" s="217"/>
      <c r="D11" s="102">
        <v>88</v>
      </c>
      <c r="E11" s="134">
        <v>9</v>
      </c>
      <c r="F11" s="135">
        <f>VLOOKUP($D11,tabelle!$D$6:$L$110,9, FALSE)</f>
        <v>91</v>
      </c>
      <c r="G11" s="134" t="str">
        <f>VLOOKUP($D11,tabelle!$D$6:$L$110,3, FALSE)</f>
        <v>pitch</v>
      </c>
      <c r="H11" s="134" t="str">
        <f t="shared" si="1"/>
        <v/>
      </c>
      <c r="I11" s="134" t="str">
        <f>IF(J11=3,"",VLOOKUP($D11,tabelle!$D$6:$L$110,5,FALSE))</f>
        <v/>
      </c>
      <c r="J11" s="135">
        <f>RIGHT(VLOOKUP($D11,tabelle!$D$6:$L$110,2, FALSE),1)*1</f>
        <v>3</v>
      </c>
      <c r="K11" s="135">
        <f>VLOOKUP($D11,tabelle!$D$6:$L$110,6, FALSE)</f>
        <v>91</v>
      </c>
      <c r="L11" s="135" t="str">
        <f>IF(J11=3,"",VLOOKUP($D11,tabelle!$D$6:$L$110,7,FALSE))</f>
        <v/>
      </c>
      <c r="M11" s="136" t="str">
        <f>IF(OR(J11=3,J11=4),"",VLOOKUP($D11,tabelle!$D$6:$L$110,8,FALSE))</f>
        <v/>
      </c>
      <c r="N11" s="224"/>
      <c r="O11" s="140" t="s">
        <v>55</v>
      </c>
      <c r="P11" s="169"/>
      <c r="X11" s="163" t="s">
        <v>44</v>
      </c>
      <c r="Y11" s="130" t="s">
        <v>24</v>
      </c>
      <c r="Z11" s="97">
        <v>100</v>
      </c>
      <c r="AA11" s="131">
        <f t="shared" si="2"/>
        <v>95</v>
      </c>
      <c r="AB11" s="131">
        <f t="shared" si="2"/>
        <v>90</v>
      </c>
      <c r="AC11" s="131">
        <f t="shared" si="2"/>
        <v>85</v>
      </c>
      <c r="AD11" s="131">
        <f t="shared" si="2"/>
        <v>80</v>
      </c>
      <c r="AE11" s="131">
        <f t="shared" si="2"/>
        <v>75</v>
      </c>
      <c r="AF11" s="131">
        <f t="shared" si="2"/>
        <v>70</v>
      </c>
      <c r="AG11" s="131">
        <f t="shared" si="2"/>
        <v>65</v>
      </c>
      <c r="AH11" s="131">
        <f t="shared" si="2"/>
        <v>60</v>
      </c>
      <c r="AI11" s="131">
        <f t="shared" si="2"/>
        <v>55</v>
      </c>
      <c r="AJ11" s="132">
        <f t="shared" si="2"/>
        <v>50</v>
      </c>
    </row>
    <row r="12" spans="2:45" ht="18.75" customHeight="1" thickTop="1" x14ac:dyDescent="0.25">
      <c r="C12" s="176"/>
      <c r="D12" s="193"/>
      <c r="E12" s="138"/>
      <c r="F12" s="139"/>
      <c r="G12" s="138"/>
      <c r="H12" s="138"/>
      <c r="I12" s="138"/>
      <c r="J12" s="139"/>
      <c r="K12" s="139"/>
      <c r="L12" s="139"/>
      <c r="M12" s="139"/>
      <c r="N12" s="177"/>
      <c r="O12" s="170"/>
      <c r="P12" s="169"/>
      <c r="Q12" s="167"/>
      <c r="X12" s="163" t="s">
        <v>25</v>
      </c>
      <c r="Y12" s="130" t="s">
        <v>25</v>
      </c>
      <c r="Z12" s="97">
        <v>91</v>
      </c>
      <c r="AA12" s="131">
        <f t="shared" si="2"/>
        <v>86</v>
      </c>
      <c r="AB12" s="131">
        <f t="shared" si="2"/>
        <v>82</v>
      </c>
      <c r="AC12" s="131">
        <f t="shared" si="2"/>
        <v>77</v>
      </c>
      <c r="AD12" s="131">
        <f t="shared" si="2"/>
        <v>73</v>
      </c>
      <c r="AE12" s="131">
        <f t="shared" si="2"/>
        <v>68</v>
      </c>
      <c r="AF12" s="131">
        <f t="shared" si="2"/>
        <v>64</v>
      </c>
      <c r="AG12" s="131">
        <f t="shared" si="2"/>
        <v>59</v>
      </c>
      <c r="AH12" s="131">
        <f t="shared" si="2"/>
        <v>55</v>
      </c>
      <c r="AI12" s="131">
        <f t="shared" si="2"/>
        <v>50</v>
      </c>
      <c r="AJ12" s="132">
        <f t="shared" si="2"/>
        <v>46</v>
      </c>
    </row>
    <row r="13" spans="2:45" ht="18.75" customHeight="1" x14ac:dyDescent="0.25">
      <c r="B13" s="179" t="s">
        <v>66</v>
      </c>
      <c r="C13" s="179" t="s">
        <v>65</v>
      </c>
      <c r="D13" s="141" t="s">
        <v>62</v>
      </c>
      <c r="E13" s="142" t="s">
        <v>52</v>
      </c>
      <c r="F13" s="141" t="s">
        <v>47</v>
      </c>
      <c r="G13" s="142" t="s">
        <v>59</v>
      </c>
      <c r="H13" s="141"/>
      <c r="I13" s="141"/>
      <c r="J13" s="142" t="s">
        <v>48</v>
      </c>
      <c r="K13" s="142" t="s">
        <v>49</v>
      </c>
      <c r="L13" s="142" t="s">
        <v>50</v>
      </c>
      <c r="M13" s="142" t="s">
        <v>51</v>
      </c>
      <c r="N13" s="103" t="s">
        <v>49</v>
      </c>
      <c r="X13" s="108" t="s">
        <v>26</v>
      </c>
      <c r="Y13" s="178" t="s">
        <v>26</v>
      </c>
      <c r="Z13" s="109">
        <v>83</v>
      </c>
      <c r="AA13" s="108">
        <f t="shared" si="2"/>
        <v>79</v>
      </c>
      <c r="AB13" s="108">
        <f t="shared" si="2"/>
        <v>75</v>
      </c>
      <c r="AC13" s="108">
        <f t="shared" si="2"/>
        <v>71</v>
      </c>
      <c r="AD13" s="108">
        <f t="shared" si="2"/>
        <v>66</v>
      </c>
      <c r="AE13" s="108">
        <f t="shared" si="2"/>
        <v>62</v>
      </c>
      <c r="AF13" s="108">
        <f t="shared" si="2"/>
        <v>58</v>
      </c>
      <c r="AG13" s="108">
        <f t="shared" si="2"/>
        <v>54</v>
      </c>
      <c r="AH13" s="108">
        <f t="shared" si="2"/>
        <v>50</v>
      </c>
      <c r="AI13" s="108">
        <f t="shared" si="2"/>
        <v>46</v>
      </c>
      <c r="AJ13" s="108">
        <f t="shared" si="2"/>
        <v>42</v>
      </c>
    </row>
    <row r="14" spans="2:45" ht="18.75" customHeight="1" x14ac:dyDescent="0.25">
      <c r="B14" s="174"/>
      <c r="C14" s="175"/>
      <c r="D14" s="143">
        <v>1</v>
      </c>
      <c r="E14" s="118">
        <f t="shared" ref="E14:E22" si="3">IF(J14=3,K14,IF(J14=4,K14+L14,IF(J14=5,K14+L14+M14)))</f>
        <v>354</v>
      </c>
      <c r="F14" s="117" t="str">
        <f>IF(AND($N13="F",OR(G$3="Drvr",G$3="Wd 3",G$3="Wd 5",G$3="Wd 7",G$3="fe 5")),"fe 6",G$3)</f>
        <v>Drvr</v>
      </c>
      <c r="G14" s="118">
        <f>IF(J14=3,K14,IF(L14+M14+O$9-K14&gt;2,L14+M14+O$9-K14,2))</f>
        <v>9</v>
      </c>
      <c r="H14" s="117" t="str">
        <f>IF(J14=3,"","+")</f>
        <v>+</v>
      </c>
      <c r="I14" s="117" t="str">
        <f>IF(J14=3,"",IF(AND($N13="F",OR(I$3="Drvr",I$3="Wd 3",I$3="Wd 5",I$3="Wd 7",I$3="fe 5")),"fe 6",I$3))</f>
        <v>Wd 3</v>
      </c>
      <c r="J14" s="118">
        <f>J$3*1</f>
        <v>4</v>
      </c>
      <c r="K14" s="118">
        <f>IF(AND($N13="F",F14="fe 6"),N14,IF(AND($N13="D",F14="Drvr"),N14,VLOOKUP(F14,$X$3:$AJ$18,O$15,FALSE)))</f>
        <v>180</v>
      </c>
      <c r="L14" s="118">
        <f>IF(I14="",0,IF(AND($N13="F",I14="fe 6"),N14,IF(AND($N13="D",I14="Drvr"),N14,VLOOKUP(I14,$X$3:$AJ$18,O$15,FALSE))))</f>
        <v>174</v>
      </c>
      <c r="M14" s="119">
        <f>IF(M$3="",0,M$3*O16)</f>
        <v>0</v>
      </c>
      <c r="N14" s="104">
        <v>180</v>
      </c>
      <c r="P14" s="167">
        <f t="shared" ref="P14:P22" si="4">IF(J14=3,0,(K14-O$9)-L14)</f>
        <v>-9</v>
      </c>
      <c r="X14" s="163" t="s">
        <v>27</v>
      </c>
      <c r="Y14" s="130" t="s">
        <v>27</v>
      </c>
      <c r="Z14" s="97">
        <v>70</v>
      </c>
      <c r="AA14" s="131">
        <f t="shared" si="2"/>
        <v>67</v>
      </c>
      <c r="AB14" s="131">
        <f t="shared" si="2"/>
        <v>63</v>
      </c>
      <c r="AC14" s="131">
        <f t="shared" si="2"/>
        <v>60</v>
      </c>
      <c r="AD14" s="131">
        <f t="shared" si="2"/>
        <v>56</v>
      </c>
      <c r="AE14" s="131">
        <f t="shared" si="2"/>
        <v>53</v>
      </c>
      <c r="AF14" s="131">
        <f t="shared" si="2"/>
        <v>49</v>
      </c>
      <c r="AG14" s="131">
        <f t="shared" si="2"/>
        <v>46</v>
      </c>
      <c r="AH14" s="131">
        <f t="shared" si="2"/>
        <v>42</v>
      </c>
      <c r="AI14" s="131">
        <f t="shared" si="2"/>
        <v>39</v>
      </c>
      <c r="AJ14" s="132">
        <f t="shared" si="2"/>
        <v>35</v>
      </c>
    </row>
    <row r="15" spans="2:45" ht="18.75" customHeight="1" x14ac:dyDescent="0.25">
      <c r="B15" s="174"/>
      <c r="C15" s="175"/>
      <c r="D15" s="188">
        <v>2</v>
      </c>
      <c r="E15" s="189">
        <f t="shared" si="3"/>
        <v>346.4</v>
      </c>
      <c r="F15" s="190" t="str">
        <f>IF(AND($N13="F",OR(G$4="Drvr",G$4="Wd 3",G$4="Wd 5",G$4="Wd 7",G$4="fe 5")),"fe 6",G$4)</f>
        <v>Drvr</v>
      </c>
      <c r="G15" s="194">
        <f t="shared" ref="G15:G22" si="5">IF(J15=3,K15,IF(L15+M15+O$9-K15&gt;2,L15+M15+O$9-K15,2))</f>
        <v>2</v>
      </c>
      <c r="H15" s="190" t="str">
        <f t="shared" ref="H15:H22" si="6">IF(J15=3,"","+")</f>
        <v>+</v>
      </c>
      <c r="I15" s="190" t="str">
        <f>IF(J15=3,"",IF(AND($N13="F",OR(I$4="Drvr",I$4="Wd 3",I$4="Wd 5",I$4="Wd 7",I$4="fe 5")),"fe 6",I$4))</f>
        <v>fe 6</v>
      </c>
      <c r="J15" s="189">
        <f>J$4*1</f>
        <v>5</v>
      </c>
      <c r="K15" s="189">
        <f>IF(AND($N13="F",F15="fe 6"),N14,IF(AND($N13="D",F15="Drvr"),N14,VLOOKUP(F15,$X$3:$AJ$18,O$15,FALSE)))</f>
        <v>180</v>
      </c>
      <c r="L15" s="189">
        <f>IF(I15="",0,IF(AND($N13="F",I15="fe 6"),N14,IF(AND($N13="D",I15="Drvr"),N14,VLOOKUP(I15,$X$3:$AJ$18,O$15,FALSE))))</f>
        <v>116</v>
      </c>
      <c r="M15" s="191">
        <f>IF(M$4="",0,M$4*O16)</f>
        <v>50.4</v>
      </c>
      <c r="N15" s="218" t="s">
        <v>68</v>
      </c>
      <c r="O15" s="144">
        <f>IF(AND(N13="D",N14=Z$3),3,IF(AND(N13="D",N14=AA$3),4,IF(AND(N13="D",N14=AB$3),5,IF(AND(N13="D",N14=AC$3),6,IF(AND(N13="D",N14=AD$3),7,IF(AND(N13="D",N14=AE$3),8,IF(AND(N13="D",N14=AF$3),9,IF(AND(N13="D",N14=AG$3),10,IF(AND(N13="D",N14=AH$3),11,IF(AND(N13="D",N14=AI$3),12,IF(AND(N13="D",N14=AJ$3),13,IF(AND(N13="F",N14=Z$8),3,IF(AND(N13="F",N14=AA$8),4,IF(AND(N13="F",N14=AB$8),5,IF(AND(N13="F",N14=AC$8),6,IF(AND(N13="F",N14=AD$8),7,IF(AND(N13="F",N14=AE$8),8,IF(AND(N13="F",N14=AF$8),9,IF(AND(N13="F",N14=AG$8),10,IF(AND(N13="F",N14=AH$8),11,IF(AND(N13="F",N14=AI$8),12,IF(AND(N13="F",N14=AJ$8),13))))))))))))))))))))))</f>
        <v>5</v>
      </c>
      <c r="P15" s="167">
        <f t="shared" si="4"/>
        <v>49</v>
      </c>
      <c r="X15" s="163" t="s">
        <v>28</v>
      </c>
      <c r="Y15" s="145" t="s">
        <v>28</v>
      </c>
      <c r="Z15" s="98">
        <v>62</v>
      </c>
      <c r="AA15" s="131">
        <f t="shared" si="2"/>
        <v>59</v>
      </c>
      <c r="AB15" s="131">
        <f t="shared" si="2"/>
        <v>56</v>
      </c>
      <c r="AC15" s="131">
        <f t="shared" si="2"/>
        <v>53</v>
      </c>
      <c r="AD15" s="131">
        <f t="shared" si="2"/>
        <v>50</v>
      </c>
      <c r="AE15" s="131">
        <f t="shared" si="2"/>
        <v>47</v>
      </c>
      <c r="AF15" s="131">
        <f t="shared" si="2"/>
        <v>43</v>
      </c>
      <c r="AG15" s="131">
        <f t="shared" si="2"/>
        <v>40</v>
      </c>
      <c r="AH15" s="131">
        <f t="shared" si="2"/>
        <v>37</v>
      </c>
      <c r="AI15" s="131">
        <f t="shared" si="2"/>
        <v>34</v>
      </c>
      <c r="AJ15" s="132">
        <f t="shared" si="2"/>
        <v>31</v>
      </c>
    </row>
    <row r="16" spans="2:45" ht="18.75" customHeight="1" x14ac:dyDescent="0.25">
      <c r="B16" s="174"/>
      <c r="C16" s="175"/>
      <c r="D16" s="188">
        <v>3</v>
      </c>
      <c r="E16" s="194">
        <f t="shared" si="3"/>
        <v>346.6</v>
      </c>
      <c r="F16" s="195" t="str">
        <f>IF(AND($N13="F",OR(G$5="Drvr",G5="Wd 3",G$5="Wd 5",G$5="Wd 7",G$5="fe 5")),"fe 6",G$5)</f>
        <v>Drvr</v>
      </c>
      <c r="G16" s="194">
        <f t="shared" si="5"/>
        <v>2</v>
      </c>
      <c r="H16" s="195" t="str">
        <f t="shared" si="6"/>
        <v>+</v>
      </c>
      <c r="I16" s="195" t="str">
        <f>IF(J16=3,"",IF(AND($N13="F",OR(I$5="Drvr",I$5="Wd 3",I$5="Wd 5",I$5="Wd 7",I$5="fe 5")),"fe 6",I$5))</f>
        <v>pitch</v>
      </c>
      <c r="J16" s="194">
        <f>J$5*1</f>
        <v>5</v>
      </c>
      <c r="K16" s="194">
        <f>IF(AND($N13="F",F16="fe 6"),N14,IF(AND($N13="D",F16="Drvr"),N14,VLOOKUP(F16,$X$3:$AJ$18,O$15,FALSE)))</f>
        <v>180</v>
      </c>
      <c r="L16" s="194">
        <f>IF(I16="",0,IF(AND($N13="F",I16="fe 6"),N14,IF(AND($N13="D",I16="Drvr"),N14,VLOOKUP(I16,$X$3:$AJ$18,O$15,FALSE))))</f>
        <v>82</v>
      </c>
      <c r="M16" s="196">
        <f>IF(M$5="",0,M$5*O16)</f>
        <v>84.600000000000009</v>
      </c>
      <c r="N16" s="219"/>
      <c r="O16" s="146">
        <f>IF(K14=200,1,IF(N13="D",HLOOKUP(N14,Z$3:AJ$19,17,FALSE),IF(N13="F",HLOOKUP(N14,Z$8:AJ$19,12,FALSE))))</f>
        <v>0.9</v>
      </c>
      <c r="P16" s="167">
        <f t="shared" si="4"/>
        <v>83</v>
      </c>
      <c r="X16" s="163" t="s">
        <v>15</v>
      </c>
      <c r="Y16" s="147" t="s">
        <v>15</v>
      </c>
      <c r="Z16" s="99">
        <v>20</v>
      </c>
      <c r="AA16" s="148">
        <f t="shared" ref="AA16:AJ18" si="7">$Z16</f>
        <v>20</v>
      </c>
      <c r="AB16" s="149">
        <f t="shared" si="7"/>
        <v>20</v>
      </c>
      <c r="AC16" s="149">
        <f t="shared" si="7"/>
        <v>20</v>
      </c>
      <c r="AD16" s="149">
        <f t="shared" si="7"/>
        <v>20</v>
      </c>
      <c r="AE16" s="149">
        <f t="shared" si="7"/>
        <v>20</v>
      </c>
      <c r="AF16" s="149">
        <f t="shared" si="7"/>
        <v>20</v>
      </c>
      <c r="AG16" s="149">
        <f t="shared" si="7"/>
        <v>20</v>
      </c>
      <c r="AH16" s="149">
        <f t="shared" si="7"/>
        <v>20</v>
      </c>
      <c r="AI16" s="149">
        <f t="shared" si="7"/>
        <v>20</v>
      </c>
      <c r="AJ16" s="150">
        <f t="shared" si="7"/>
        <v>20</v>
      </c>
    </row>
    <row r="17" spans="2:36" ht="18.75" customHeight="1" x14ac:dyDescent="0.25">
      <c r="B17" s="174"/>
      <c r="C17" s="175"/>
      <c r="D17" s="188">
        <v>4</v>
      </c>
      <c r="E17" s="189">
        <f t="shared" si="3"/>
        <v>332</v>
      </c>
      <c r="F17" s="190" t="str">
        <f>IF(AND($N13="F",OR(G$6="Drvr",G$6="Wd 3",G$6="Wd 5",G$6="Wd 7",G$6="fe 5")),"fe 6",G$6)</f>
        <v>Wd 3</v>
      </c>
      <c r="G17" s="189">
        <f t="shared" si="5"/>
        <v>2</v>
      </c>
      <c r="H17" s="190" t="str">
        <f t="shared" si="6"/>
        <v>+</v>
      </c>
      <c r="I17" s="190" t="str">
        <f>IF(J17=3,"",IF(AND($N13="F",OR(I$6="Drvr",I$6="Wd 3",I$6="Wd 5",I$6="Wd 7",I$6="fe 5")),"fe 6",I$6))</f>
        <v>Wd 5</v>
      </c>
      <c r="J17" s="189">
        <f>J$6*1</f>
        <v>4</v>
      </c>
      <c r="K17" s="189">
        <f>IF(AND($N13="F",F17="fe 6"),N14,IF(AND($N13="D",F17="Drvr"),N14,VLOOKUP(F17,$X$3:$AJ$18,O$15,FALSE)))</f>
        <v>174</v>
      </c>
      <c r="L17" s="189">
        <f>IF(I17="",0,IF(AND($N13="F",I17="fe 6"),N14,IF(AND($N13="D",I17="Drvr"),N14,VLOOKUP(I17,$X$3:$AJ$18,O$15,FALSE))))</f>
        <v>158</v>
      </c>
      <c r="M17" s="191">
        <f>IF(M$6="",0,M$6*O16)</f>
        <v>0</v>
      </c>
      <c r="N17" s="219"/>
      <c r="O17" s="151">
        <f>MAX(O18:O19)</f>
        <v>180</v>
      </c>
      <c r="P17" s="167">
        <f t="shared" si="4"/>
        <v>1</v>
      </c>
      <c r="X17" s="163" t="s">
        <v>27</v>
      </c>
      <c r="Y17" s="147" t="s">
        <v>27</v>
      </c>
      <c r="Z17" s="99">
        <v>30</v>
      </c>
      <c r="AA17" s="148">
        <f t="shared" si="7"/>
        <v>30</v>
      </c>
      <c r="AB17" s="149">
        <f t="shared" si="7"/>
        <v>30</v>
      </c>
      <c r="AC17" s="149">
        <f t="shared" si="7"/>
        <v>30</v>
      </c>
      <c r="AD17" s="149">
        <f t="shared" si="7"/>
        <v>30</v>
      </c>
      <c r="AE17" s="149">
        <f t="shared" si="7"/>
        <v>30</v>
      </c>
      <c r="AF17" s="149">
        <f t="shared" si="7"/>
        <v>30</v>
      </c>
      <c r="AG17" s="149">
        <f t="shared" si="7"/>
        <v>30</v>
      </c>
      <c r="AH17" s="149">
        <f t="shared" si="7"/>
        <v>30</v>
      </c>
      <c r="AI17" s="149">
        <f t="shared" si="7"/>
        <v>30</v>
      </c>
      <c r="AJ17" s="150">
        <f t="shared" si="7"/>
        <v>30</v>
      </c>
    </row>
    <row r="18" spans="2:36" ht="18.75" customHeight="1" x14ac:dyDescent="0.25">
      <c r="B18" s="174"/>
      <c r="C18" s="175"/>
      <c r="D18" s="188">
        <v>5</v>
      </c>
      <c r="E18" s="189">
        <f t="shared" si="3"/>
        <v>334.2</v>
      </c>
      <c r="F18" s="190" t="str">
        <f>IF(AND($N13="F",OR(G$7="Drvr",G$7="Wd 3",G$7="Wd 5",G$7="Wd 7",G$7="fe 5")),"fe 6",G$7)</f>
        <v>Wd 3</v>
      </c>
      <c r="G18" s="189">
        <f t="shared" si="5"/>
        <v>2</v>
      </c>
      <c r="H18" s="190" t="str">
        <f t="shared" si="6"/>
        <v>+</v>
      </c>
      <c r="I18" s="190" t="str">
        <f>IF(J18=3,"",IF(AND($N13="F",OR(I$7="Drvr",I$7="Wd 3",I$7="Wd 5",I$7="Wd 7",I$7="fe 5")),"fe 6",I$7))</f>
        <v>sand</v>
      </c>
      <c r="J18" s="189">
        <f>J$7*1</f>
        <v>5</v>
      </c>
      <c r="K18" s="189">
        <f>IF(AND($N13="F",F18="fe 6"),N14,IF(AND($N13="D",F18="Drvr"),N14,VLOOKUP(F18,$X$3:$AJ$18,O$15,FALSE)))</f>
        <v>174</v>
      </c>
      <c r="L18" s="189">
        <f>IF(I18="",0,IF(AND($N13="F",I18="fe 6"),N14,IF(AND($N13="D",I18="Drvr"),N14,VLOOKUP(I18,$X$3:$AJ$18,O$15,FALSE))))</f>
        <v>63</v>
      </c>
      <c r="M18" s="191">
        <f>IF(M$7="",0,M$7*O16)</f>
        <v>97.2</v>
      </c>
      <c r="N18" s="219"/>
      <c r="O18" s="152">
        <f>IF(N13="F",0,IF(AND(N13="D",ISNA(HLOOKUP(N14,Z$3:AJ$3,1,FALSE))),888,IF(AND(N13="D",HLOOKUP(N14,Z$3:AJ$3,1,FALSE)),N14,)))</f>
        <v>180</v>
      </c>
      <c r="P18" s="167">
        <f t="shared" si="4"/>
        <v>96</v>
      </c>
      <c r="X18" s="164" t="s">
        <v>45</v>
      </c>
      <c r="Y18" s="147" t="s">
        <v>57</v>
      </c>
      <c r="Z18" s="99">
        <v>33</v>
      </c>
      <c r="AA18" s="148">
        <f t="shared" si="7"/>
        <v>33</v>
      </c>
      <c r="AB18" s="149">
        <f t="shared" si="7"/>
        <v>33</v>
      </c>
      <c r="AC18" s="149">
        <f t="shared" si="7"/>
        <v>33</v>
      </c>
      <c r="AD18" s="149">
        <f t="shared" si="7"/>
        <v>33</v>
      </c>
      <c r="AE18" s="149">
        <f t="shared" si="7"/>
        <v>33</v>
      </c>
      <c r="AF18" s="149">
        <f t="shared" si="7"/>
        <v>33</v>
      </c>
      <c r="AG18" s="149">
        <f t="shared" si="7"/>
        <v>33</v>
      </c>
      <c r="AH18" s="149">
        <f t="shared" si="7"/>
        <v>33</v>
      </c>
      <c r="AI18" s="149">
        <f t="shared" si="7"/>
        <v>33</v>
      </c>
      <c r="AJ18" s="150">
        <f t="shared" si="7"/>
        <v>33</v>
      </c>
    </row>
    <row r="19" spans="2:36" ht="18.75" customHeight="1" x14ac:dyDescent="0.25">
      <c r="B19" s="174"/>
      <c r="C19" s="175"/>
      <c r="D19" s="188">
        <v>6</v>
      </c>
      <c r="E19" s="189">
        <f t="shared" si="3"/>
        <v>119</v>
      </c>
      <c r="F19" s="190" t="str">
        <f>IF(AND($N13="F",OR(G$8="Drvr",G$8="Wd 3",G$8="Wd 5",G$8="Wd 7",G$8="fe 5")),"fe 6",G$8)</f>
        <v>sand</v>
      </c>
      <c r="G19" s="189">
        <f t="shared" si="5"/>
        <v>8</v>
      </c>
      <c r="H19" s="190" t="str">
        <f t="shared" si="6"/>
        <v>+</v>
      </c>
      <c r="I19" s="190" t="str">
        <f>IF(J19=3,"",IF(AND($N13="F",OR(I$8="Drvr",I$8="Wd 3",I$8="Wd 5",I$8="Wd 7",I$8="fe 5")),"fe 6",I$8))</f>
        <v>lob</v>
      </c>
      <c r="J19" s="189">
        <f>J$8*1</f>
        <v>4</v>
      </c>
      <c r="K19" s="189">
        <f>IF(AND($N13="F",F19="fe 6"),N14,IF(AND($N13="D",F19="Drvr"),N14,VLOOKUP(F19,$X$3:$AJ$18,O$15,FALSE)))</f>
        <v>63</v>
      </c>
      <c r="L19" s="189">
        <f>IF(I19="",0,IF(AND($N13="F",I19="fe 6"),N14,IF(AND($N13="D",I19="Drvr"),N14,VLOOKUP(I19,$X$3:$AJ$18,O$15,FALSE))))</f>
        <v>56</v>
      </c>
      <c r="M19" s="191">
        <f>IF(M$8="",0,M$8*O16)</f>
        <v>0</v>
      </c>
      <c r="N19" s="219"/>
      <c r="O19" s="153">
        <f>IF(N13="D",0,IF(AND(N13="F",ISNA(HLOOKUP(N14,Z$8:AJ$8,1,FALSE))),999,IF(AND(N13="F",HLOOKUP(N14,Z$8:AJ$8,1,FALSE)),N14)))</f>
        <v>0</v>
      </c>
      <c r="P19" s="167">
        <f t="shared" si="4"/>
        <v>-8</v>
      </c>
      <c r="Y19" s="154"/>
      <c r="Z19" s="100">
        <v>1</v>
      </c>
      <c r="AA19" s="94">
        <f t="shared" ref="AA19:AJ19" si="8">AA3/$Z3</f>
        <v>0.95</v>
      </c>
      <c r="AB19" s="65">
        <f t="shared" si="8"/>
        <v>0.9</v>
      </c>
      <c r="AC19" s="65">
        <f t="shared" si="8"/>
        <v>0.85</v>
      </c>
      <c r="AD19" s="65">
        <f t="shared" si="8"/>
        <v>0.8</v>
      </c>
      <c r="AE19" s="65">
        <f t="shared" si="8"/>
        <v>0.75</v>
      </c>
      <c r="AF19" s="65">
        <f t="shared" si="8"/>
        <v>0.7</v>
      </c>
      <c r="AG19" s="65">
        <f t="shared" si="8"/>
        <v>0.65</v>
      </c>
      <c r="AH19" s="65">
        <f t="shared" si="8"/>
        <v>0.6</v>
      </c>
      <c r="AI19" s="65">
        <f t="shared" si="8"/>
        <v>0.55000000000000004</v>
      </c>
      <c r="AJ19" s="66">
        <f t="shared" si="8"/>
        <v>0.5</v>
      </c>
    </row>
    <row r="20" spans="2:36" ht="18.75" customHeight="1" x14ac:dyDescent="0.25">
      <c r="B20" s="174"/>
      <c r="C20" s="175"/>
      <c r="D20" s="188">
        <v>7</v>
      </c>
      <c r="E20" s="189">
        <f t="shared" si="3"/>
        <v>141</v>
      </c>
      <c r="F20" s="190" t="str">
        <f>IF(AND($N13="F",OR(G$9="Drvr",G$9="Wd 3",G$9="Wd 5",G$9="Wd 7",G$9="fe 5")),"fe 6",G$9)</f>
        <v>Wd 7</v>
      </c>
      <c r="G20" s="189">
        <f t="shared" si="5"/>
        <v>141</v>
      </c>
      <c r="H20" s="190" t="str">
        <f t="shared" si="6"/>
        <v/>
      </c>
      <c r="I20" s="190" t="str">
        <f>IF(J20=3,"",IF(AND($N13="F",OR(I$9="Drvr",I$9="Wd 3",I$9="Wd 5",I$9="Wd 7",I$9="fe 5")),"fe 6",I$9))</f>
        <v/>
      </c>
      <c r="J20" s="189">
        <f>J$9*1</f>
        <v>3</v>
      </c>
      <c r="K20" s="189">
        <f>IF(AND($N13="F",F20="fe 6"),N14,IF(AND($N13="D",F20="Drvr"),N14,VLOOKUP(F20,$X$3:$AJ$18,O$15,FALSE)))</f>
        <v>141</v>
      </c>
      <c r="L20" s="189">
        <f>IF(I20="",0,IF(AND($N13="F",I20="fe 6"),N14,IF(AND($N13="D",I20="Drvr"),N14,VLOOKUP(I20,$X$3:$AJ$18,O$15,FALSE))))</f>
        <v>0</v>
      </c>
      <c r="M20" s="191">
        <f>IF(M$9="",0,M$9*O16)</f>
        <v>0</v>
      </c>
      <c r="N20" s="219"/>
      <c r="P20" s="167">
        <f t="shared" si="4"/>
        <v>0</v>
      </c>
      <c r="AE20" s="133"/>
    </row>
    <row r="21" spans="2:36" ht="18.75" customHeight="1" x14ac:dyDescent="0.25">
      <c r="B21" s="174"/>
      <c r="C21" s="175"/>
      <c r="D21" s="188">
        <v>8</v>
      </c>
      <c r="E21" s="189">
        <f t="shared" si="3"/>
        <v>116</v>
      </c>
      <c r="F21" s="190" t="str">
        <f>IF(AND($N13="F",OR(G$10="Drvr",G$10="Wd 3",G$10="Wd 5",G$10="Wd 7",G$10="fe 5")),"fe 6",G$10)</f>
        <v>fe 6</v>
      </c>
      <c r="G21" s="189">
        <f t="shared" si="5"/>
        <v>116</v>
      </c>
      <c r="H21" s="190" t="str">
        <f t="shared" si="6"/>
        <v/>
      </c>
      <c r="I21" s="190" t="str">
        <f>IF(J21=3,"",IF(AND($N13="F",OR(I$10="Drvr",I$10="Wd 3",I$10="Wd 5",I$10="Wd 7",I$10="fe 5")),"fe 6",I$10))</f>
        <v/>
      </c>
      <c r="J21" s="189">
        <f>J$10*1</f>
        <v>3</v>
      </c>
      <c r="K21" s="189">
        <f>IF(AND($N13="F",F21="fe 6"),N14,IF(AND($N13="D",F21="Drvr"),N14,VLOOKUP(F21,$X$3:$AJ$18,O$15,FALSE)))</f>
        <v>116</v>
      </c>
      <c r="L21" s="189">
        <f>IF(I21="",0,IF(AND($N13="F",I21="fe 6"),N14,IF(AND($N13="D",I21="Drvr"),N14,VLOOKUP(I21,$X$3:$AJ$18,O$15,FALSE))))</f>
        <v>0</v>
      </c>
      <c r="M21" s="191">
        <f>IF(M$10="",0,M$10*O16)</f>
        <v>0</v>
      </c>
      <c r="N21" s="219"/>
      <c r="P21" s="167">
        <f t="shared" si="4"/>
        <v>0</v>
      </c>
      <c r="AE21" s="133"/>
    </row>
    <row r="22" spans="2:36" ht="18.75" customHeight="1" x14ac:dyDescent="0.25">
      <c r="B22" s="174"/>
      <c r="C22" s="175"/>
      <c r="D22" s="145">
        <v>9</v>
      </c>
      <c r="E22" s="155">
        <f t="shared" si="3"/>
        <v>82</v>
      </c>
      <c r="F22" s="156" t="str">
        <f>IF(AND($N13="F",OR(G$11="Drvr",G$11="Wd 3",G$11="Wd 5",G$11="Wd 7",G$11="fe 5")),"fe 6",G$11)</f>
        <v>pitch</v>
      </c>
      <c r="G22" s="155">
        <f t="shared" si="5"/>
        <v>82</v>
      </c>
      <c r="H22" s="156" t="str">
        <f t="shared" si="6"/>
        <v/>
      </c>
      <c r="I22" s="156" t="str">
        <f>IF(J22=3,"",IF(AND($N13="F",OR(I$11="Drvr",I$11="Wd 3",I$11="Wd 5",I$11="Wd 7",I$11="fe 5")),"fe 6",I$11))</f>
        <v/>
      </c>
      <c r="J22" s="155">
        <f>J$11*1</f>
        <v>3</v>
      </c>
      <c r="K22" s="155">
        <f>IF(AND($N13="F",F22="fe 6"),N14,IF(AND($N13="D",F22="Drvr"),N14,VLOOKUP(F22,$X$3:$AJ$18,O$15,FALSE)))</f>
        <v>82</v>
      </c>
      <c r="L22" s="155">
        <f>IF(I22="",0,IF(AND($N13="F",I22="fe 6"),N14,IF(AND($N13="D",I22="Drvr"),N14,VLOOKUP(I22,$X$3:$AJ$18,O$15,FALSE))))</f>
        <v>0</v>
      </c>
      <c r="M22" s="157">
        <f>IF(M$11="",0,M$11*O16)</f>
        <v>0</v>
      </c>
      <c r="N22" s="220"/>
      <c r="P22" s="167">
        <f t="shared" si="4"/>
        <v>0</v>
      </c>
    </row>
    <row r="23" spans="2:36" ht="18.75" customHeight="1" x14ac:dyDescent="0.25">
      <c r="B23" s="174"/>
      <c r="C23" s="174"/>
      <c r="D23" s="128" t="s">
        <v>58</v>
      </c>
      <c r="E23" s="120"/>
      <c r="F23" s="128"/>
      <c r="G23" s="120"/>
      <c r="H23" s="128"/>
      <c r="I23" s="128"/>
      <c r="J23" s="120"/>
      <c r="K23" s="120"/>
      <c r="L23" s="120"/>
      <c r="M23" s="120"/>
      <c r="N23" s="192"/>
    </row>
    <row r="24" spans="2:36" ht="16.5" customHeight="1" x14ac:dyDescent="0.25">
      <c r="B24" s="179" t="s">
        <v>66</v>
      </c>
      <c r="C24" s="179" t="s">
        <v>65</v>
      </c>
      <c r="D24" s="141" t="s">
        <v>62</v>
      </c>
      <c r="E24" s="142" t="s">
        <v>52</v>
      </c>
      <c r="F24" s="141" t="s">
        <v>47</v>
      </c>
      <c r="G24" s="142" t="s">
        <v>59</v>
      </c>
      <c r="H24" s="141"/>
      <c r="I24" s="141"/>
      <c r="J24" s="142" t="s">
        <v>48</v>
      </c>
      <c r="K24" s="142" t="s">
        <v>49</v>
      </c>
      <c r="L24" s="142" t="s">
        <v>50</v>
      </c>
      <c r="M24" s="142" t="s">
        <v>51</v>
      </c>
      <c r="N24" s="103" t="s">
        <v>55</v>
      </c>
    </row>
    <row r="25" spans="2:36" ht="18.75" customHeight="1" x14ac:dyDescent="0.25">
      <c r="B25" s="174"/>
      <c r="C25" s="175"/>
      <c r="D25" s="143">
        <v>1</v>
      </c>
      <c r="E25" s="118">
        <f t="shared" ref="E25:E33" si="9">IF(J25=3,K25,IF(J25=4,K25+L25,IF(J25=5,K25+L25+M25)))</f>
        <v>246</v>
      </c>
      <c r="F25" s="117" t="str">
        <f>IF(AND($N24="F",OR(G$3="Drvr",G$3="Wd 3",G$3="Wd 5",G$3="Wd 7",G$3="fe 5")),"fe 6",G$3)</f>
        <v>fe 6</v>
      </c>
      <c r="G25" s="118">
        <f>IF(J25=3,K25,IF(L25+M25+O$9-K25&gt;2,L25+M25+O$9-K25,2))</f>
        <v>15</v>
      </c>
      <c r="H25" s="117" t="str">
        <f>IF(J25=3,"","+")</f>
        <v>+</v>
      </c>
      <c r="I25" s="117" t="str">
        <f>IF(J25=3,"",IF(AND($N24="F",OR(I$3="Drvr",I$3="Wd 3",I$3="Wd 5",I$3="Wd 7",I$3="fe 5")),"fe 6",I$3))</f>
        <v>fe 6</v>
      </c>
      <c r="J25" s="118">
        <f>J$3*1</f>
        <v>4</v>
      </c>
      <c r="K25" s="118">
        <f>IF(AND($N24="F",F25="fe 6"),N25,IF(AND($N24="D",F25="Drvr"),N25,VLOOKUP(F25,$X$3:$AJ$18,O$15,FALSE)))</f>
        <v>123</v>
      </c>
      <c r="L25" s="118">
        <f>IF(I25="",0,IF(AND($N24="F",I25="fe 6"),N25,IF(AND($N24="D",I25="Drvr"),N25,VLOOKUP(I25,$X$3:$AJ$18,O$15,FALSE))))</f>
        <v>123</v>
      </c>
      <c r="M25" s="119">
        <f>IF(M$3="",0,M$3*O27)</f>
        <v>0</v>
      </c>
      <c r="N25" s="104">
        <v>123</v>
      </c>
      <c r="P25" s="167">
        <f t="shared" ref="P25:P33" si="10">IF(J25=3,0,(K25-O$9)-L25)</f>
        <v>-15</v>
      </c>
    </row>
    <row r="26" spans="2:36" ht="18.75" customHeight="1" x14ac:dyDescent="0.25">
      <c r="B26" s="174"/>
      <c r="C26" s="175"/>
      <c r="D26" s="130">
        <v>2</v>
      </c>
      <c r="E26" s="189">
        <f t="shared" si="9"/>
        <v>299.2</v>
      </c>
      <c r="F26" s="190" t="str">
        <f>IF(AND($N24="F",OR(G$4="Drvr",G$4="Wd 3",G$4="Wd 5",G$4="Wd 7",G$4="fe 5")),"fe 6",G$4)</f>
        <v>fe 6</v>
      </c>
      <c r="G26" s="194">
        <f t="shared" ref="G26:G33" si="11">IF(J26=3,K26,IF(L26+M26+O$9-K26&gt;2,L26+M26+O$9-K26,2))</f>
        <v>68.199999999999989</v>
      </c>
      <c r="H26" s="190" t="str">
        <f t="shared" ref="H26:H33" si="12">IF(J26=3,"","+")</f>
        <v>+</v>
      </c>
      <c r="I26" s="190" t="str">
        <f>IF(J26=3,"",IF(AND($N24="F",OR(I$4="Drvr",I$4="Wd 3",I$4="Wd 5",I$4="Wd 7",I$4="fe 5")),"fe 6",I$4))</f>
        <v>fe 6</v>
      </c>
      <c r="J26" s="189">
        <f>J$4*1</f>
        <v>5</v>
      </c>
      <c r="K26" s="189">
        <f>IF(AND($N24="F",F26="fe 6"),N25,IF(AND($N24="D",F26="Drvr"),N25,VLOOKUP(F26,$X$3:$AJ$18,O$15,FALSE)))</f>
        <v>123</v>
      </c>
      <c r="L26" s="189">
        <f>IF(I26="",0,IF(AND($N24="F",I26="fe 6"),N25,IF(AND($N24="D",I26="Drvr"),N25,VLOOKUP(I26,$X$3:$AJ$18,O$15,FALSE))))</f>
        <v>123</v>
      </c>
      <c r="M26" s="191">
        <f>IF(M$4="",0,M$4*O27)</f>
        <v>53.199999999999996</v>
      </c>
      <c r="N26" s="218" t="s">
        <v>70</v>
      </c>
      <c r="O26" s="144">
        <f>IF(AND(N24="D",N25=Z$3),3,IF(AND(N24="D",N25=AA$3),4,IF(AND(N24="D",N25=AB$3),5,IF(AND(N24="D",N25=AC$3),6,IF(AND(N24="D",N25=AD$3),7,IF(AND(N24="D",N25=AE$3),8,IF(AND(N24="D",N25=AF$3),9,IF(AND(N24="D",N25=AG$3),10,IF(AND(N24="D",N25=AH$3),11,IF(AND(N24="D",N25=AI$3),12,IF(AND(N24="D",N25=AJ$3),13,IF(AND(N24="F",N25=Z$8),3,IF(AND(N24="F",N25=AA$8),4,IF(AND(N24="F",N25=AB$8),5,IF(AND(N24="F",N25=AC$8),6,IF(AND(N24="F",N25=AD$8),7,IF(AND(N24="F",N25=AE$8),8,IF(AND(N24="F",N25=AF$8),9,IF(AND(N24="F",N25=AG$8),10,IF(AND(N24="F",N25=AH$8),11,IF(AND(N24="F",N25=AI$8),12,IF(AND(N24="F",N25=AJ$8),13))))))))))))))))))))))</f>
        <v>4</v>
      </c>
      <c r="P26" s="171">
        <f t="shared" si="10"/>
        <v>-15</v>
      </c>
    </row>
    <row r="27" spans="2:36" ht="18.75" customHeight="1" x14ac:dyDescent="0.25">
      <c r="B27" s="174"/>
      <c r="C27" s="175"/>
      <c r="D27" s="130">
        <v>3</v>
      </c>
      <c r="E27" s="189">
        <f t="shared" si="9"/>
        <v>294.3</v>
      </c>
      <c r="F27" s="190" t="str">
        <f>IF(AND($N24="F",OR(G$5="Drvr",G15="Wd 3",G$5="Wd 5",G$5="Wd 7",G$5="fe 5")),"fe 6",G$5)</f>
        <v>fe 6</v>
      </c>
      <c r="G27" s="194">
        <f t="shared" si="11"/>
        <v>63.300000000000011</v>
      </c>
      <c r="H27" s="190" t="str">
        <f t="shared" si="12"/>
        <v>+</v>
      </c>
      <c r="I27" s="190" t="str">
        <f>IF(J27=3,"",IF(AND($N24="F",OR(I$5="Drvr",I$5="Wd 3",I$5="Wd 5",I$5="Wd 7",I$5="fe 5")),"fe 6",I$5))</f>
        <v>pitch</v>
      </c>
      <c r="J27" s="189">
        <f>J$5*1</f>
        <v>5</v>
      </c>
      <c r="K27" s="189">
        <f>IF(AND($N24="F",F27="fe 6"),N25,IF(AND($N24="D",F27="Drvr"),N25,VLOOKUP(F27,$X$3:$AJ$18,O$15,FALSE)))</f>
        <v>123</v>
      </c>
      <c r="L27" s="189">
        <f>IF(I27="",0,IF(AND($N24="F",I27="fe 6"),N25,IF(AND($N24="D",I27="Drvr"),N25,VLOOKUP(I27,$X$3:$AJ$18,O$15,FALSE))))</f>
        <v>82</v>
      </c>
      <c r="M27" s="191">
        <f>IF(M$5="",0,M$5*O27)</f>
        <v>89.3</v>
      </c>
      <c r="N27" s="219"/>
      <c r="O27" s="146">
        <f>IF(K25=200,1,IF(N24="D",HLOOKUP(N25,Z$3:AJ$19,17,FALSE),IF(N24="F",HLOOKUP(N25,Z$8:AJ$19,12,FALSE))))</f>
        <v>0.95</v>
      </c>
      <c r="P27" s="60">
        <f t="shared" si="10"/>
        <v>26</v>
      </c>
    </row>
    <row r="28" spans="2:36" ht="18.75" customHeight="1" x14ac:dyDescent="0.25">
      <c r="B28" s="174"/>
      <c r="C28" s="175"/>
      <c r="D28" s="130">
        <v>4</v>
      </c>
      <c r="E28" s="189">
        <f t="shared" si="9"/>
        <v>246</v>
      </c>
      <c r="F28" s="190" t="str">
        <f>IF(AND($N24="F",OR(G$6="Drvr",G$6="Wd 3",G$6="Wd 5",G$6="Wd 7",G$6="fe 5")),"fe 6",G$6)</f>
        <v>fe 6</v>
      </c>
      <c r="G28" s="189">
        <f t="shared" si="11"/>
        <v>15</v>
      </c>
      <c r="H28" s="190" t="str">
        <f t="shared" si="12"/>
        <v>+</v>
      </c>
      <c r="I28" s="190" t="str">
        <f>IF(J28=3,"",IF(AND($N24="F",OR(I$6="Drvr",I$6="Wd 3",I$6="Wd 5",I$6="Wd 7",I$6="fe 5")),"fe 6",I$6))</f>
        <v>fe 6</v>
      </c>
      <c r="J28" s="189">
        <f>J$6*1</f>
        <v>4</v>
      </c>
      <c r="K28" s="189">
        <f>IF(AND($N24="F",F28="fe 6"),N25,IF(AND($N24="D",F28="Drvr"),N25,VLOOKUP(F28,$X$3:$AJ$18,O$15,FALSE)))</f>
        <v>123</v>
      </c>
      <c r="L28" s="189">
        <f>IF(I28="",0,IF(AND($N24="F",I28="fe 6"),N25,IF(AND($N24="D",I28="Drvr"),N25,VLOOKUP(I28,$X$3:$AJ$18,O$15,FALSE))))</f>
        <v>123</v>
      </c>
      <c r="M28" s="191">
        <f>IF(M$6="",0,M$6*O27)</f>
        <v>0</v>
      </c>
      <c r="N28" s="219"/>
      <c r="O28" s="151">
        <f>MAX(O29:O30)</f>
        <v>123</v>
      </c>
      <c r="P28" s="172">
        <f t="shared" si="10"/>
        <v>-15</v>
      </c>
    </row>
    <row r="29" spans="2:36" ht="18.75" customHeight="1" x14ac:dyDescent="0.25">
      <c r="B29" s="174"/>
      <c r="C29" s="175"/>
      <c r="D29" s="130">
        <v>5</v>
      </c>
      <c r="E29" s="189">
        <f t="shared" si="9"/>
        <v>288.60000000000002</v>
      </c>
      <c r="F29" s="190" t="str">
        <f>IF(AND($N24="F",OR(G$7="Drvr",G$7="Wd 3",G$7="Wd 5",G$7="Wd 7",G$7="fe 5")),"fe 6",G$7)</f>
        <v>fe 6</v>
      </c>
      <c r="G29" s="189">
        <f t="shared" si="11"/>
        <v>57.599999999999994</v>
      </c>
      <c r="H29" s="190" t="str">
        <f t="shared" si="12"/>
        <v>+</v>
      </c>
      <c r="I29" s="190" t="str">
        <f>IF(J29=3,"",IF(AND($N24="F",OR(I$7="Drvr",I$7="Wd 3",I$7="Wd 5",I$7="Wd 7",I$7="fe 5")),"fe 6",I$7))</f>
        <v>sand</v>
      </c>
      <c r="J29" s="189">
        <f>J$7*1</f>
        <v>5</v>
      </c>
      <c r="K29" s="189">
        <f>IF(AND($N24="F",F29="fe 6"),N25,IF(AND($N24="D",F29="Drvr"),N25,VLOOKUP(F29,$X$3:$AJ$18,O$15,FALSE)))</f>
        <v>123</v>
      </c>
      <c r="L29" s="189">
        <f>IF(I29="",0,IF(AND($N24="F",I29="fe 6"),N25,IF(AND($N24="D",I29="Drvr"),N25,VLOOKUP(I29,$X$3:$AJ$18,O$15,FALSE))))</f>
        <v>63</v>
      </c>
      <c r="M29" s="191">
        <f>IF(M$7="",0,M$7*O27)</f>
        <v>102.6</v>
      </c>
      <c r="N29" s="219"/>
      <c r="O29" s="152">
        <f>IF(N24="F",0,IF(AND(N24="D",ISNA(HLOOKUP(N25,Z$3:AJ$3,1,FALSE))),888,IF(AND(N24="D",HLOOKUP(N25,Z$3:AJ$3,1,FALSE)),N25,)))</f>
        <v>0</v>
      </c>
      <c r="P29" s="172">
        <f t="shared" si="10"/>
        <v>45</v>
      </c>
    </row>
    <row r="30" spans="2:36" ht="18.75" customHeight="1" x14ac:dyDescent="0.25">
      <c r="B30" s="174"/>
      <c r="C30" s="175"/>
      <c r="D30" s="130">
        <v>6</v>
      </c>
      <c r="E30" s="189">
        <f t="shared" si="9"/>
        <v>119</v>
      </c>
      <c r="F30" s="190" t="str">
        <f>IF(AND($N24="F",OR(G$8="Drvr",G$8="Wd 3",G$8="Wd 5",G$8="Wd 7",G$8="fe 5")),"fe 6",G$8)</f>
        <v>sand</v>
      </c>
      <c r="G30" s="189">
        <f t="shared" si="11"/>
        <v>8</v>
      </c>
      <c r="H30" s="190" t="str">
        <f t="shared" si="12"/>
        <v>+</v>
      </c>
      <c r="I30" s="190" t="str">
        <f>IF(J30=3,"",IF(AND($N24="F",OR(I$8="Drvr",I$8="Wd 3",I$8="Wd 5",I$8="Wd 7",I$8="fe 5")),"fe 6",I$8))</f>
        <v>lob</v>
      </c>
      <c r="J30" s="189">
        <f>J$8*1</f>
        <v>4</v>
      </c>
      <c r="K30" s="189">
        <f>IF(AND($N24="F",F30="fe 6"),N25,IF(AND($N24="D",F30="Drvr"),N25,VLOOKUP(F30,$X$3:$AJ$18,O$15,FALSE)))</f>
        <v>63</v>
      </c>
      <c r="L30" s="189">
        <f>IF(I30="",0,IF(AND($N24="F",I30="fe 6"),N25,IF(AND($N24="D",I30="Drvr"),N25,VLOOKUP(I30,$X$3:$AJ$18,O$15,FALSE))))</f>
        <v>56</v>
      </c>
      <c r="M30" s="191">
        <f>IF(M$8="",0,M$8*O27)</f>
        <v>0</v>
      </c>
      <c r="N30" s="219"/>
      <c r="O30" s="153">
        <f>IF(N24="D",0,IF(AND(N24="F",ISNA(HLOOKUP(N25,Z$8:AJ$8,1,FALSE))),999,IF(AND(N24="F",HLOOKUP(N25,Z$8:AJ$8,1,FALSE)),N25)))</f>
        <v>123</v>
      </c>
      <c r="P30" s="172">
        <f t="shared" si="10"/>
        <v>-8</v>
      </c>
    </row>
    <row r="31" spans="2:36" ht="18.75" customHeight="1" x14ac:dyDescent="0.25">
      <c r="B31" s="174"/>
      <c r="C31" s="175"/>
      <c r="D31" s="130">
        <v>7</v>
      </c>
      <c r="E31" s="189">
        <f t="shared" si="9"/>
        <v>123</v>
      </c>
      <c r="F31" s="190" t="str">
        <f>IF(AND($N24="F",OR(G$9="Drvr",G$9="Wd 3",G$9="Wd 5",G$9="Wd 7",G$9="fe 5")),"fe 6",G$9)</f>
        <v>fe 6</v>
      </c>
      <c r="G31" s="189">
        <f t="shared" si="11"/>
        <v>123</v>
      </c>
      <c r="H31" s="190" t="str">
        <f t="shared" si="12"/>
        <v/>
      </c>
      <c r="I31" s="190" t="str">
        <f>IF(J31=3,"",IF(AND($N24="F",OR(I$9="Drvr",I$9="Wd 3",I$9="Wd 5",I$9="Wd 7",I$9="fe 5")),"fe 6",I$9))</f>
        <v/>
      </c>
      <c r="J31" s="189">
        <f>J$9*1</f>
        <v>3</v>
      </c>
      <c r="K31" s="189">
        <f>IF(AND($N24="F",F31="fe 6"),N25,IF(AND($N24="D",F31="Drvr"),N25,VLOOKUP(F31,$X$3:$AJ$18,O$15,FALSE)))</f>
        <v>123</v>
      </c>
      <c r="L31" s="189">
        <f>IF(I31="",0,IF(AND($N24="F",I31="fe 6"),N25,IF(AND($N24="D",I31="Drvr"),N25,VLOOKUP(I31,$X$3:$AJ$18,O$15,FALSE))))</f>
        <v>0</v>
      </c>
      <c r="M31" s="191">
        <f>IF(M$9="",0,M$9*O27)</f>
        <v>0</v>
      </c>
      <c r="N31" s="219"/>
      <c r="P31" s="167">
        <f t="shared" si="10"/>
        <v>0</v>
      </c>
    </row>
    <row r="32" spans="2:36" ht="18.75" customHeight="1" x14ac:dyDescent="0.25">
      <c r="B32" s="174"/>
      <c r="C32" s="175"/>
      <c r="D32" s="130">
        <v>8</v>
      </c>
      <c r="E32" s="189">
        <f t="shared" si="9"/>
        <v>123</v>
      </c>
      <c r="F32" s="190" t="str">
        <f>IF(AND($N24="F",OR(G$10="Drvr",G$10="Wd 3",G$10="Wd 5",G$10="Wd 7",G$10="fe 5")),"fe 6",G$10)</f>
        <v>fe 6</v>
      </c>
      <c r="G32" s="189">
        <f t="shared" si="11"/>
        <v>123</v>
      </c>
      <c r="H32" s="190" t="str">
        <f t="shared" si="12"/>
        <v/>
      </c>
      <c r="I32" s="190" t="str">
        <f>IF(J32=3,"",IF(AND($N24="F",OR(I$10="Drvr",I$10="Wd 3",I$10="Wd 5",I$10="Wd 7",I$10="fe 5")),"fe 6",I$10))</f>
        <v/>
      </c>
      <c r="J32" s="189">
        <f>J$10*1</f>
        <v>3</v>
      </c>
      <c r="K32" s="189">
        <f>IF(AND($N24="F",F32="fe 6"),N25,IF(AND($N24="D",F32="Drvr"),N25,VLOOKUP(F32,$X$3:$AJ$18,O$15,FALSE)))</f>
        <v>123</v>
      </c>
      <c r="L32" s="189">
        <f>IF(I32="",0,IF(AND($N24="F",I32="fe 6"),N25,IF(AND($N24="D",I32="Drvr"),N25,VLOOKUP(I32,$X$3:$AJ$18,O$15,FALSE))))</f>
        <v>0</v>
      </c>
      <c r="M32" s="191">
        <f>IF(M$10="",0,M$10*O27)</f>
        <v>0</v>
      </c>
      <c r="N32" s="219"/>
      <c r="P32" s="167">
        <f t="shared" si="10"/>
        <v>0</v>
      </c>
    </row>
    <row r="33" spans="2:16" ht="18.75" customHeight="1" x14ac:dyDescent="0.25">
      <c r="B33" s="174"/>
      <c r="C33" s="175"/>
      <c r="D33" s="145">
        <v>9</v>
      </c>
      <c r="E33" s="155">
        <f t="shared" si="9"/>
        <v>82</v>
      </c>
      <c r="F33" s="156" t="str">
        <f>IF(AND($N24="F",OR(G$11="Drvr",G$11="Wd 3",G$11="Wd 5",G$11="Wd 7",G$11="fe 5")),"fe 6",G$11)</f>
        <v>pitch</v>
      </c>
      <c r="G33" s="155">
        <f t="shared" si="11"/>
        <v>82</v>
      </c>
      <c r="H33" s="156" t="str">
        <f t="shared" si="12"/>
        <v/>
      </c>
      <c r="I33" s="156" t="str">
        <f>IF(J33=3,"",IF(AND($N24="F",OR(I$11="Drvr",I$11="Wd 3",I$11="Wd 5",I$11="Wd 7",I$11="fe 5")),"fe 6",I$11))</f>
        <v/>
      </c>
      <c r="J33" s="155">
        <f>J$11*1</f>
        <v>3</v>
      </c>
      <c r="K33" s="155">
        <f>IF(AND($N24="F",F33="fe 6"),N25,IF(AND($N24="D",F33="Drvr"),N25,VLOOKUP(F33,$X$3:$AJ$18,O$15,FALSE)))</f>
        <v>82</v>
      </c>
      <c r="L33" s="155">
        <f>IF(I33="",0,IF(AND($N24="F",I33="fe 6"),N25,IF(AND($N24="D",I33="Drvr"),N25,VLOOKUP(I33,$X$3:$AJ$18,O$15,FALSE))))</f>
        <v>0</v>
      </c>
      <c r="M33" s="157">
        <f>IF(M$11="",0,M$11*O27)</f>
        <v>0</v>
      </c>
      <c r="N33" s="220"/>
      <c r="P33" s="167">
        <f t="shared" si="10"/>
        <v>0</v>
      </c>
    </row>
    <row r="34" spans="2:16" ht="18.75" customHeight="1" x14ac:dyDescent="0.25">
      <c r="B34" s="174"/>
      <c r="C34" s="174"/>
      <c r="D34" s="128"/>
      <c r="E34" s="120"/>
      <c r="F34" s="128"/>
      <c r="G34" s="120"/>
      <c r="H34" s="128"/>
      <c r="I34" s="128"/>
      <c r="J34" s="120"/>
      <c r="K34" s="120"/>
      <c r="L34" s="120"/>
      <c r="M34" s="120"/>
      <c r="N34" s="192"/>
    </row>
    <row r="35" spans="2:16" ht="16.5" customHeight="1" x14ac:dyDescent="0.25">
      <c r="B35" s="179" t="s">
        <v>66</v>
      </c>
      <c r="C35" s="179" t="s">
        <v>65</v>
      </c>
      <c r="D35" s="141" t="s">
        <v>62</v>
      </c>
      <c r="E35" s="142" t="s">
        <v>52</v>
      </c>
      <c r="F35" s="141" t="s">
        <v>47</v>
      </c>
      <c r="G35" s="142" t="s">
        <v>59</v>
      </c>
      <c r="H35" s="141"/>
      <c r="I35" s="141"/>
      <c r="J35" s="142" t="s">
        <v>48</v>
      </c>
      <c r="K35" s="142" t="s">
        <v>49</v>
      </c>
      <c r="L35" s="142" t="s">
        <v>50</v>
      </c>
      <c r="M35" s="142" t="s">
        <v>51</v>
      </c>
      <c r="N35" s="103" t="s">
        <v>55</v>
      </c>
    </row>
    <row r="36" spans="2:16" ht="18.75" customHeight="1" x14ac:dyDescent="0.25">
      <c r="B36" s="174"/>
      <c r="C36" s="175"/>
      <c r="D36" s="143">
        <v>1</v>
      </c>
      <c r="E36" s="118">
        <f t="shared" ref="E36:E44" si="13">IF(J36=3,K36,IF(J36=4,K36+L36,IF(J36=5,K36+L36+M36)))</f>
        <v>246</v>
      </c>
      <c r="F36" s="117" t="str">
        <f>IF(AND($N35="F",OR(G$3="Drvr",G$3="Wd 3",G$3="Wd 5",G$3="Wd 7",G$3="fe 5")),"fe 6",G$3)</f>
        <v>fe 6</v>
      </c>
      <c r="G36" s="118">
        <f>IF(J36=3,K36,IF(L36+M36+O$9-K36&gt;2,L36+M36+O$9-K36,2))</f>
        <v>15</v>
      </c>
      <c r="H36" s="117" t="str">
        <f>IF(J36=3,"","+")</f>
        <v>+</v>
      </c>
      <c r="I36" s="117" t="str">
        <f>IF(J36=3,"",IF(AND($N35="F",OR(I$3="Drvr",I$3="Wd 3",I$3="Wd 5",I$3="Wd 7",I$3="fe 5")),"fe 6",I$3))</f>
        <v>fe 6</v>
      </c>
      <c r="J36" s="118">
        <f>J$3*1</f>
        <v>4</v>
      </c>
      <c r="K36" s="118">
        <f>IF(AND($N35="F",F36="fe 6"),N36,IF(AND($N35="D",F36="Drvr"),N36,VLOOKUP(F36,$X$3:$AJ$18,O$15,FALSE)))</f>
        <v>123</v>
      </c>
      <c r="L36" s="118">
        <f>IF(I36="",0,IF(AND($N35="F",I36="fe 6"),N36,IF(AND($N35="D",I36="Drvr"),N36,VLOOKUP(I36,$X$3:$AJ$18,O$15,FALSE))))</f>
        <v>123</v>
      </c>
      <c r="M36" s="119">
        <f>IF(M$3="",0,M$3*O38)</f>
        <v>0</v>
      </c>
      <c r="N36" s="104">
        <v>123</v>
      </c>
      <c r="P36" s="167">
        <f t="shared" ref="P36:P44" si="14">IF(J36=3,0,(K36-O$9)-L36)</f>
        <v>-15</v>
      </c>
    </row>
    <row r="37" spans="2:16" ht="18.75" customHeight="1" x14ac:dyDescent="0.25">
      <c r="B37" s="174"/>
      <c r="C37" s="175"/>
      <c r="D37" s="130">
        <v>2</v>
      </c>
      <c r="E37" s="189">
        <f t="shared" si="13"/>
        <v>299.2</v>
      </c>
      <c r="F37" s="190" t="str">
        <f>IF(AND($N35="F",OR(G$4="Drvr",G$4="Wd 3",G$4="Wd 5",G$4="Wd 7",G$4="fe 5")),"fe 6",G$4)</f>
        <v>fe 6</v>
      </c>
      <c r="G37" s="189">
        <f t="shared" ref="G37:G44" si="15">IF(J37=3,K37,IF(L37+M37+O$9-K37&gt;2,L37+M37+O$9-K37,2))</f>
        <v>68.199999999999989</v>
      </c>
      <c r="H37" s="190" t="str">
        <f t="shared" ref="H37:H44" si="16">IF(J37=3,"","+")</f>
        <v>+</v>
      </c>
      <c r="I37" s="190" t="str">
        <f>IF(J37=3,"",IF(AND($N35="F",OR(I$4="Drvr",I$4="Wd 3",I$4="Wd 5",I$4="Wd 7",I$4="fe 5")),"fe 6",I$4))</f>
        <v>fe 6</v>
      </c>
      <c r="J37" s="189">
        <f>J$4*1</f>
        <v>5</v>
      </c>
      <c r="K37" s="189">
        <f>IF(AND($N35="F",F37="fe 6"),N36,IF(AND($N35="D",F37="Drvr"),N36,VLOOKUP(F37,$X$3:$AJ$18,O$15,FALSE)))</f>
        <v>123</v>
      </c>
      <c r="L37" s="189">
        <f>IF(I37="",0,IF(AND($N35="F",I37="fe 6"),N36,IF(AND($N35="D",I37="Drvr"),N36,VLOOKUP(I37,$X$3:$AJ$18,O$15,FALSE))))</f>
        <v>123</v>
      </c>
      <c r="M37" s="191">
        <f>IF(M$4="",0,M$4*O38)</f>
        <v>53.199999999999996</v>
      </c>
      <c r="N37" s="218" t="s">
        <v>71</v>
      </c>
      <c r="O37" s="144">
        <f>IF(AND(N35="D",N36=Z$3),3,IF(AND(N35="D",N36=AA$3),4,IF(AND(N35="D",N36=AB$3),5,IF(AND(N35="D",N36=AC$3),6,IF(AND(N35="D",N36=AD$3),7,IF(AND(N35="D",N36=AE$3),8,IF(AND(N35="D",N36=AF$3),9,IF(AND(N35="D",N36=AG$3),10,IF(AND(N35="D",N36=AH$3),11,IF(AND(N35="D",N36=AI$3),12,IF(AND(N35="D",N36=AJ$3),13,IF(AND(N35="F",N36=Z$8),3,IF(AND(N35="F",N36=AA$8),4,IF(AND(N35="F",N36=AB$8),5,IF(AND(N35="F",N36=AC$8),6,IF(AND(N35="F",N36=AD$8),7,IF(AND(N35="F",N36=AE$8),8,IF(AND(N35="F",N36=AF$8),9,IF(AND(N35="F",N36=AG$8),10,IF(AND(N35="F",N36=AH$8),11,IF(AND(N35="F",N36=AI$8),12,IF(AND(N35="F",N36=AJ$8),13))))))))))))))))))))))</f>
        <v>4</v>
      </c>
      <c r="P37" s="171">
        <f t="shared" si="14"/>
        <v>-15</v>
      </c>
    </row>
    <row r="38" spans="2:16" ht="18.75" customHeight="1" x14ac:dyDescent="0.25">
      <c r="B38" s="174"/>
      <c r="C38" s="175"/>
      <c r="D38" s="130">
        <v>3</v>
      </c>
      <c r="E38" s="189">
        <f t="shared" si="13"/>
        <v>294.3</v>
      </c>
      <c r="F38" s="190" t="str">
        <f>IF(AND($N35="F",OR(G$5="Drvr",G26="Wd 3",G$5="Wd 5",G$5="Wd 7",G$5="fe 5")),"fe 6",G$5)</f>
        <v>fe 6</v>
      </c>
      <c r="G38" s="189">
        <f t="shared" si="15"/>
        <v>63.300000000000011</v>
      </c>
      <c r="H38" s="190" t="str">
        <f t="shared" si="16"/>
        <v>+</v>
      </c>
      <c r="I38" s="190" t="str">
        <f>IF(J38=3,"",IF(AND($N35="F",OR(I$5="Drvr",I$5="Wd 3",I$5="Wd 5",I$5="Wd 7",I$5="fe 5")),"fe 6",I$5))</f>
        <v>pitch</v>
      </c>
      <c r="J38" s="189">
        <f>J$5*1</f>
        <v>5</v>
      </c>
      <c r="K38" s="189">
        <f>IF(AND($N35="F",F38="fe 6"),N36,IF(AND($N35="D",F38="Drvr"),N36,VLOOKUP(F38,$X$3:$AJ$18,O$15,FALSE)))</f>
        <v>123</v>
      </c>
      <c r="L38" s="189">
        <f>IF(I38="",0,IF(AND($N35="F",I38="fe 6"),N36,IF(AND($N35="D",I38="Drvr"),N36,VLOOKUP(I38,$X$3:$AJ$18,O$15,FALSE))))</f>
        <v>82</v>
      </c>
      <c r="M38" s="191">
        <f>IF(M$5="",0,M$5*O38)</f>
        <v>89.3</v>
      </c>
      <c r="N38" s="219"/>
      <c r="O38" s="158">
        <f>IF(K36=200,1,IF(N35="D",HLOOKUP(N36,Z$3:AJ$19,17,FALSE),IF(N35="F",HLOOKUP(N36,Z$8:AJ$19,12,FALSE))))</f>
        <v>0.95</v>
      </c>
      <c r="P38" s="60">
        <f t="shared" si="14"/>
        <v>26</v>
      </c>
    </row>
    <row r="39" spans="2:16" ht="18.75" customHeight="1" x14ac:dyDescent="0.25">
      <c r="B39" s="174"/>
      <c r="C39" s="175"/>
      <c r="D39" s="130">
        <v>4</v>
      </c>
      <c r="E39" s="189">
        <f t="shared" si="13"/>
        <v>246</v>
      </c>
      <c r="F39" s="190" t="str">
        <f>IF(AND($N35="F",OR(G$6="Drvr",G$6="Wd 3",G$6="Wd 5",G$6="Wd 7",G$6="fe 5")),"fe 6",G$6)</f>
        <v>fe 6</v>
      </c>
      <c r="G39" s="189">
        <f t="shared" si="15"/>
        <v>15</v>
      </c>
      <c r="H39" s="190" t="str">
        <f t="shared" si="16"/>
        <v>+</v>
      </c>
      <c r="I39" s="190" t="str">
        <f>IF(J39=3,"",IF(AND($N35="F",OR(I$6="Drvr",I$6="Wd 3",I$6="Wd 5",I$6="Wd 7",I$6="fe 5")),"fe 6",I$6))</f>
        <v>fe 6</v>
      </c>
      <c r="J39" s="189">
        <f>J$6*1</f>
        <v>4</v>
      </c>
      <c r="K39" s="189">
        <f>IF(AND($N35="F",F39="fe 6"),N36,IF(AND($N35="D",F39="Drvr"),N36,VLOOKUP(F39,$X$3:$AJ$18,O$15,FALSE)))</f>
        <v>123</v>
      </c>
      <c r="L39" s="189">
        <f>IF(I39="",0,IF(AND($N35="F",I39="fe 6"),N36,IF(AND($N35="D",I39="Drvr"),N36,VLOOKUP(I39,$X$3:$AJ$18,O$15,FALSE))))</f>
        <v>123</v>
      </c>
      <c r="M39" s="191">
        <f>IF(M$6="",0,M$6*O38)</f>
        <v>0</v>
      </c>
      <c r="N39" s="219"/>
      <c r="O39" s="159">
        <f>MAX(O40:O41)</f>
        <v>123</v>
      </c>
      <c r="P39" s="172">
        <f t="shared" si="14"/>
        <v>-15</v>
      </c>
    </row>
    <row r="40" spans="2:16" ht="18.75" customHeight="1" x14ac:dyDescent="0.25">
      <c r="B40" s="174"/>
      <c r="C40" s="175"/>
      <c r="D40" s="130">
        <v>5</v>
      </c>
      <c r="E40" s="189">
        <f t="shared" si="13"/>
        <v>288.60000000000002</v>
      </c>
      <c r="F40" s="190" t="str">
        <f>IF(AND($N35="F",OR(G$7="Drvr",G$7="Wd 3",G$7="Wd 5",G$7="Wd 7",G$7="fe 5")),"fe 6",G$7)</f>
        <v>fe 6</v>
      </c>
      <c r="G40" s="189">
        <f t="shared" si="15"/>
        <v>57.599999999999994</v>
      </c>
      <c r="H40" s="190" t="str">
        <f t="shared" si="16"/>
        <v>+</v>
      </c>
      <c r="I40" s="190" t="str">
        <f>IF(J40=3,"",IF(AND($N35="F",OR(I$7="Drvr",I$7="Wd 3",I$7="Wd 5",I$7="Wd 7",I$7="fe 5")),"fe 6",I$7))</f>
        <v>sand</v>
      </c>
      <c r="J40" s="189">
        <f>J$7*1</f>
        <v>5</v>
      </c>
      <c r="K40" s="189">
        <f>IF(AND($N35="F",F40="fe 6"),N36,IF(AND($N35="D",F40="Drvr"),N36,VLOOKUP(F40,$X$3:$AJ$18,O$15,FALSE)))</f>
        <v>123</v>
      </c>
      <c r="L40" s="189">
        <f>IF(I40="",0,IF(AND($N35="F",I40="fe 6"),N36,IF(AND($N35="D",I40="Drvr"),N36,VLOOKUP(I40,$X$3:$AJ$18,O$15,FALSE))))</f>
        <v>63</v>
      </c>
      <c r="M40" s="191">
        <f>IF(M$7="",0,M$7*O38)</f>
        <v>102.6</v>
      </c>
      <c r="N40" s="219"/>
      <c r="O40" s="160">
        <f>IF(N35="F",0,IF(AND(N35="D",ISNA(HLOOKUP(N36,Z$3:AJ$3,1,FALSE))),888,IF(AND(N35="D",HLOOKUP(N36,Z$3:AJ$3,1,FALSE)),N36,)))</f>
        <v>0</v>
      </c>
      <c r="P40" s="172">
        <f t="shared" si="14"/>
        <v>45</v>
      </c>
    </row>
    <row r="41" spans="2:16" ht="18.75" customHeight="1" x14ac:dyDescent="0.25">
      <c r="B41" s="174"/>
      <c r="C41" s="175"/>
      <c r="D41" s="130">
        <v>6</v>
      </c>
      <c r="E41" s="189">
        <f t="shared" si="13"/>
        <v>119</v>
      </c>
      <c r="F41" s="190" t="str">
        <f>IF(AND($N35="F",OR(G$8="Drvr",G$8="Wd 3",G$8="Wd 5",G$8="Wd 7",G$8="fe 5")),"fe 6",G$8)</f>
        <v>sand</v>
      </c>
      <c r="G41" s="189">
        <f t="shared" si="15"/>
        <v>8</v>
      </c>
      <c r="H41" s="190" t="str">
        <f t="shared" si="16"/>
        <v>+</v>
      </c>
      <c r="I41" s="190" t="str">
        <f>IF(J41=3,"",IF(AND($N35="F",OR(I$8="Drvr",I$8="Wd 3",I$8="Wd 5",I$8="Wd 7",I$8="fe 5")),"fe 6",I$8))</f>
        <v>lob</v>
      </c>
      <c r="J41" s="189">
        <f>J$8*1</f>
        <v>4</v>
      </c>
      <c r="K41" s="189">
        <f>IF(AND($N35="F",F41="fe 6"),N36,IF(AND($N35="D",F41="Drvr"),N36,VLOOKUP(F41,$X$3:$AJ$18,O$15,FALSE)))</f>
        <v>63</v>
      </c>
      <c r="L41" s="189">
        <f>IF(I41="",0,IF(AND($N35="F",I41="fe 6"),N36,IF(AND($N35="D",I41="Drvr"),N36,VLOOKUP(I41,$X$3:$AJ$18,O$15,FALSE))))</f>
        <v>56</v>
      </c>
      <c r="M41" s="191">
        <f>IF(M$8="",0,M$8*O38)</f>
        <v>0</v>
      </c>
      <c r="N41" s="219"/>
      <c r="O41" s="161">
        <f>IF(N35="D",0,IF(AND(N35="F",ISNA(HLOOKUP(N36,Z$8:AJ$8,1,FALSE))),999,IF(AND(N35="F",HLOOKUP(N36,Z$8:AJ$8,1,FALSE)),N36)))</f>
        <v>123</v>
      </c>
      <c r="P41" s="172">
        <f t="shared" si="14"/>
        <v>-8</v>
      </c>
    </row>
    <row r="42" spans="2:16" ht="18.75" customHeight="1" x14ac:dyDescent="0.25">
      <c r="B42" s="174"/>
      <c r="C42" s="175"/>
      <c r="D42" s="130">
        <v>7</v>
      </c>
      <c r="E42" s="189">
        <f t="shared" si="13"/>
        <v>123</v>
      </c>
      <c r="F42" s="190" t="str">
        <f>IF(AND($N35="F",OR(G$9="Drvr",G$9="Wd 3",G$9="Wd 5",G$9="Wd 7",G$9="fe 5")),"fe 6",G$9)</f>
        <v>fe 6</v>
      </c>
      <c r="G42" s="189">
        <f t="shared" si="15"/>
        <v>123</v>
      </c>
      <c r="H42" s="190" t="str">
        <f t="shared" si="16"/>
        <v/>
      </c>
      <c r="I42" s="190" t="str">
        <f>IF(J42=3,"",IF(AND($N35="F",OR(I$9="Drvr",I$9="Wd 3",I$9="Wd 5",I$9="Wd 7",I$9="fe 5")),"fe 6",I$9))</f>
        <v/>
      </c>
      <c r="J42" s="189">
        <f>J$9*1</f>
        <v>3</v>
      </c>
      <c r="K42" s="189">
        <f>IF(AND($N35="F",F42="fe 6"),N36,IF(AND($N35="D",F42="Drvr"),N36,VLOOKUP(F42,$X$3:$AJ$18,O$15,FALSE)))</f>
        <v>123</v>
      </c>
      <c r="L42" s="189">
        <f>IF(I42="",0,IF(AND($N35="F",I42="fe 6"),N36,IF(AND($N35="D",I42="Drvr"),N36,VLOOKUP(I42,$X$3:$AJ$18,O$15,FALSE))))</f>
        <v>0</v>
      </c>
      <c r="M42" s="191">
        <f>IF(M$9="",0,M$9*O38)</f>
        <v>0</v>
      </c>
      <c r="N42" s="219"/>
      <c r="P42" s="167">
        <f t="shared" si="14"/>
        <v>0</v>
      </c>
    </row>
    <row r="43" spans="2:16" ht="18.75" customHeight="1" x14ac:dyDescent="0.25">
      <c r="B43" s="174"/>
      <c r="C43" s="175"/>
      <c r="D43" s="130">
        <v>8</v>
      </c>
      <c r="E43" s="189">
        <f t="shared" si="13"/>
        <v>123</v>
      </c>
      <c r="F43" s="190" t="str">
        <f>IF(AND($N35="F",OR(G$10="Drvr",G$10="Wd 3",G$10="Wd 5",G$10="Wd 7",G$10="fe 5")),"fe 6",G$10)</f>
        <v>fe 6</v>
      </c>
      <c r="G43" s="189">
        <f t="shared" si="15"/>
        <v>123</v>
      </c>
      <c r="H43" s="190" t="str">
        <f t="shared" si="16"/>
        <v/>
      </c>
      <c r="I43" s="190" t="str">
        <f>IF(J43=3,"",IF(AND($N35="F",OR(I$10="Drvr",I$10="Wd 3",I$10="Wd 5",I$10="Wd 7",I$10="fe 5")),"fe 6",I$10))</f>
        <v/>
      </c>
      <c r="J43" s="189">
        <f>J$10*1</f>
        <v>3</v>
      </c>
      <c r="K43" s="189">
        <f>IF(AND($N35="F",F43="fe 6"),N36,IF(AND($N35="D",F43="Drvr"),N36,VLOOKUP(F43,$X$3:$AJ$18,O$15,FALSE)))</f>
        <v>123</v>
      </c>
      <c r="L43" s="189">
        <f>IF(I43="",0,IF(AND($N35="F",I43="fe 6"),N36,IF(AND($N35="D",I43="Drvr"),N36,VLOOKUP(I43,$X$3:$AJ$18,O$15,FALSE))))</f>
        <v>0</v>
      </c>
      <c r="M43" s="191">
        <f>IF(M$10="",0,M$10*O38)</f>
        <v>0</v>
      </c>
      <c r="N43" s="219"/>
      <c r="P43" s="167">
        <f t="shared" si="14"/>
        <v>0</v>
      </c>
    </row>
    <row r="44" spans="2:16" ht="18.75" customHeight="1" x14ac:dyDescent="0.25">
      <c r="B44" s="174"/>
      <c r="C44" s="175"/>
      <c r="D44" s="145">
        <v>9</v>
      </c>
      <c r="E44" s="155">
        <f t="shared" si="13"/>
        <v>82</v>
      </c>
      <c r="F44" s="156" t="str">
        <f>IF(AND($N35="F",OR(G$11="Drvr",G$11="Wd 3",G$11="Wd 5",G$11="Wd 7",G$11="fe 5")),"fe 6",G$11)</f>
        <v>pitch</v>
      </c>
      <c r="G44" s="155">
        <f t="shared" si="15"/>
        <v>82</v>
      </c>
      <c r="H44" s="156" t="str">
        <f t="shared" si="16"/>
        <v/>
      </c>
      <c r="I44" s="156" t="str">
        <f>IF(J44=3,"",IF(AND($N35="F",OR(I$11="Drvr",I$11="Wd 3",I$11="Wd 5",I$11="Wd 7",I$11="fe 5")),"fe 6",I$11))</f>
        <v/>
      </c>
      <c r="J44" s="155">
        <f>J$11*1</f>
        <v>3</v>
      </c>
      <c r="K44" s="155">
        <f>IF(AND($N35="F",F44="fe 6"),N36,IF(AND($N35="D",F44="Drvr"),N36,VLOOKUP(F44,$X$3:$AJ$18,O$15,FALSE)))</f>
        <v>82</v>
      </c>
      <c r="L44" s="155">
        <f>IF(I44="",0,IF(AND($N35="F",I44="fe 6"),N36,IF(AND($N35="D",I44="Drvr"),N36,VLOOKUP(I44,$X$3:$AJ$18,O$15,FALSE))))</f>
        <v>0</v>
      </c>
      <c r="M44" s="157">
        <f>IF(M$11="",0,M$11*O38)</f>
        <v>0</v>
      </c>
      <c r="N44" s="220"/>
      <c r="P44" s="167">
        <f t="shared" si="14"/>
        <v>0</v>
      </c>
    </row>
    <row r="45" spans="2:16" ht="18.75" customHeight="1" x14ac:dyDescent="0.25">
      <c r="B45" s="174"/>
      <c r="C45" s="174"/>
      <c r="D45" s="128"/>
      <c r="E45" s="120"/>
      <c r="F45" s="128"/>
      <c r="G45" s="120"/>
      <c r="H45" s="128"/>
      <c r="I45" s="128"/>
      <c r="J45" s="120"/>
      <c r="K45" s="120"/>
      <c r="L45" s="120"/>
      <c r="M45" s="120"/>
      <c r="N45" s="192"/>
    </row>
    <row r="46" spans="2:16" ht="18.75" customHeight="1" x14ac:dyDescent="0.25">
      <c r="B46" s="179" t="s">
        <v>66</v>
      </c>
      <c r="C46" s="179" t="s">
        <v>65</v>
      </c>
      <c r="D46" s="141" t="s">
        <v>62</v>
      </c>
      <c r="E46" s="142" t="s">
        <v>52</v>
      </c>
      <c r="F46" s="141" t="s">
        <v>47</v>
      </c>
      <c r="G46" s="142" t="s">
        <v>59</v>
      </c>
      <c r="H46" s="141"/>
      <c r="I46" s="141"/>
      <c r="J46" s="142" t="s">
        <v>48</v>
      </c>
      <c r="K46" s="142" t="s">
        <v>49</v>
      </c>
      <c r="L46" s="142" t="s">
        <v>50</v>
      </c>
      <c r="M46" s="142" t="s">
        <v>51</v>
      </c>
      <c r="N46" s="103" t="s">
        <v>49</v>
      </c>
    </row>
    <row r="47" spans="2:16" ht="18.75" customHeight="1" x14ac:dyDescent="0.25">
      <c r="B47" s="174"/>
      <c r="C47" s="175"/>
      <c r="D47" s="143">
        <v>1</v>
      </c>
      <c r="E47" s="118">
        <f t="shared" ref="E47:E55" si="17">IF(J47=3,K47,IF(J47=4,K47+L47,IF(J47=5,K47+L47+M47)))</f>
        <v>324</v>
      </c>
      <c r="F47" s="117" t="str">
        <f>IF(AND($N46="F",OR(G$3="Drvr",G$3="Wd 3",G$3="Wd 5",G$3="Wd 7",G$3="fe 5")),"fe 6",G$3)</f>
        <v>Drvr</v>
      </c>
      <c r="G47" s="118">
        <f>IF(J47=3,K47,IF(L47+M47+O$9-K47&gt;2,L47+M47+O$9-K47,2))</f>
        <v>39</v>
      </c>
      <c r="H47" s="117" t="str">
        <f>IF(J47=3,"","+")</f>
        <v>+</v>
      </c>
      <c r="I47" s="117" t="str">
        <f>IF(J47=3,"",IF(AND($N46="F",OR(I$3="Drvr",I$3="Wd 3",I$3="Wd 5",I$3="Wd 7",I$3="fe 5")),"fe 6",I$3))</f>
        <v>Wd 3</v>
      </c>
      <c r="J47" s="118">
        <f>J$3*1</f>
        <v>4</v>
      </c>
      <c r="K47" s="118">
        <f>IF(AND($N46="F",F47="fe 6"),N47,IF(AND($N46="D",F47="Drvr"),N47,VLOOKUP(F47,$X$3:$AJ$18,O$15,FALSE)))</f>
        <v>150</v>
      </c>
      <c r="L47" s="118">
        <f>IF(I47="",0,IF(AND($N46="F",I47="fe 6"),N47,IF(AND($N46="D",I47="Drvr"),N47,VLOOKUP(I47,$X$3:$AJ$18,O$15,FALSE))))</f>
        <v>174</v>
      </c>
      <c r="M47" s="119">
        <f>IF(M$3="",0,M$3*O49)</f>
        <v>0</v>
      </c>
      <c r="N47" s="104">
        <v>150</v>
      </c>
      <c r="P47" s="167">
        <f t="shared" ref="P47:P55" si="18">IF(J47=3,0,(K47-O$9)-L47)</f>
        <v>-39</v>
      </c>
    </row>
    <row r="48" spans="2:16" ht="18.75" customHeight="1" x14ac:dyDescent="0.25">
      <c r="B48" s="174"/>
      <c r="C48" s="175"/>
      <c r="D48" s="130">
        <v>2</v>
      </c>
      <c r="E48" s="189">
        <f t="shared" si="17"/>
        <v>308</v>
      </c>
      <c r="F48" s="190" t="str">
        <f>IF(AND($N46="F",OR(G$4="Drvr",G$4="Wd 3",G$4="Wd 5",G$4="Wd 7",G$4="fe 5")),"fe 6",G$4)</f>
        <v>Drvr</v>
      </c>
      <c r="G48" s="189">
        <f t="shared" ref="G48:G55" si="19">IF(J48=3,K48,IF(L48+M48+O$9-K48&gt;2,L48+M48+O$9-K48,2))</f>
        <v>23</v>
      </c>
      <c r="H48" s="190" t="str">
        <f t="shared" ref="H48:H55" si="20">IF(J48=3,"","+")</f>
        <v>+</v>
      </c>
      <c r="I48" s="190" t="str">
        <f>IF(J48=3,"",IF(AND($N46="F",OR(I$4="Drvr",I$4="Wd 3",I$4="Wd 5",I$4="Wd 7",I$4="fe 5")),"fe 6",I$4))</f>
        <v>fe 6</v>
      </c>
      <c r="J48" s="189">
        <f>J$4*1</f>
        <v>5</v>
      </c>
      <c r="K48" s="189">
        <f>IF(AND($N46="F",F48="fe 6"),N47,IF(AND($N46="D",F48="Drvr"),N47,VLOOKUP(F48,$X$3:$AJ$18,O$15,FALSE)))</f>
        <v>150</v>
      </c>
      <c r="L48" s="189">
        <f>IF(I48="",0,IF(AND($N46="F",I48="fe 6"),N47,IF(AND($N46="D",I48="Drvr"),N47,VLOOKUP(I48,$X$3:$AJ$18,O$15,FALSE))))</f>
        <v>116</v>
      </c>
      <c r="M48" s="191">
        <f>IF(M$4="",0,M$4*O49)</f>
        <v>42</v>
      </c>
      <c r="N48" s="218" t="s">
        <v>72</v>
      </c>
      <c r="O48" s="144">
        <f>IF(AND(N46="D",N47=Z$3),3,IF(AND(N46="D",N47=AA$3),4,IF(AND(N46="D",N47=AB$3),5,IF(AND(N46="D",N47=AC$3),6,IF(AND(N46="D",N47=AD$3),7,IF(AND(N46="D",N47=AE$3),8,IF(AND(N46="D",N47=AF$3),9,IF(AND(N46="D",N47=AG$3),10,IF(AND(N46="D",N47=AH$3),11,IF(AND(N46="D",N47=AI$3),12,IF(AND(N46="D",N47=AJ$3),13,IF(AND(N46="F",N47=Z$8),3,IF(AND(N46="F",N47=AA$8),4,IF(AND(N46="F",N47=AB$8),5,IF(AND(N46="F",N47=AC$8),6,IF(AND(N46="F",N47=AD$8),7,IF(AND(N46="F",N47=AE$8),8,IF(AND(N46="F",N47=AF$8),9,IF(AND(N46="F",N47=AG$8),10,IF(AND(N46="F",N47=AH$8),11,IF(AND(N46="F",N47=AI$8),12,IF(AND(N46="F",N47=AJ$8),13))))))))))))))))))))))</f>
        <v>8</v>
      </c>
      <c r="P48" s="171">
        <f t="shared" si="18"/>
        <v>19</v>
      </c>
    </row>
    <row r="49" spans="2:16" ht="18.75" customHeight="1" x14ac:dyDescent="0.25">
      <c r="B49" s="174"/>
      <c r="C49" s="175"/>
      <c r="D49" s="130">
        <v>3</v>
      </c>
      <c r="E49" s="189">
        <f t="shared" si="17"/>
        <v>302.5</v>
      </c>
      <c r="F49" s="190" t="str">
        <f>IF(AND($N46="F",OR(G$5="Drvr",G37="Wd 3",G$5="Wd 5",G$5="Wd 7",G$5="fe 5")),"fe 6",G$5)</f>
        <v>Drvr</v>
      </c>
      <c r="G49" s="189">
        <f t="shared" si="19"/>
        <v>17.5</v>
      </c>
      <c r="H49" s="190" t="str">
        <f t="shared" si="20"/>
        <v>+</v>
      </c>
      <c r="I49" s="190" t="str">
        <f>IF(J49=3,"",IF(AND($N46="F",OR(I$5="Drvr",I$5="Wd 3",I$5="Wd 5",I$5="Wd 7",I$5="fe 5")),"fe 6",I$5))</f>
        <v>pitch</v>
      </c>
      <c r="J49" s="189">
        <f>J$5*1</f>
        <v>5</v>
      </c>
      <c r="K49" s="189">
        <f>IF(AND($N46="F",F49="fe 6"),N47,IF(AND($N46="D",F49="Drvr"),N47,VLOOKUP(F49,$X$3:$AJ$18,O$15,FALSE)))</f>
        <v>150</v>
      </c>
      <c r="L49" s="189">
        <f>IF(I49="",0,IF(AND($N46="F",I49="fe 6"),N47,IF(AND($N46="D",I49="Drvr"),N47,VLOOKUP(I49,$X$3:$AJ$18,O$15,FALSE))))</f>
        <v>82</v>
      </c>
      <c r="M49" s="191">
        <f>IF(M$5="",0,M$5*O49)</f>
        <v>70.5</v>
      </c>
      <c r="N49" s="219"/>
      <c r="O49" s="146">
        <f>IF(K47=200,1,IF(N46="D",HLOOKUP(N47,Z$3:AJ$19,17,FALSE),IF(N46="F",HLOOKUP(N47,Z$8:AJ$19,12,FALSE))))</f>
        <v>0.75</v>
      </c>
      <c r="P49" s="60">
        <f t="shared" si="18"/>
        <v>53</v>
      </c>
    </row>
    <row r="50" spans="2:16" ht="18.75" customHeight="1" x14ac:dyDescent="0.25">
      <c r="B50" s="174"/>
      <c r="C50" s="175"/>
      <c r="D50" s="130">
        <v>4</v>
      </c>
      <c r="E50" s="189">
        <f t="shared" si="17"/>
        <v>332</v>
      </c>
      <c r="F50" s="190" t="str">
        <f>IF(AND($N46="F",OR(G$6="Drvr",G$6="Wd 3",G$6="Wd 5",G$6="Wd 7",G$6="fe 5")),"fe 6",G$6)</f>
        <v>Wd 3</v>
      </c>
      <c r="G50" s="189">
        <f t="shared" si="19"/>
        <v>2</v>
      </c>
      <c r="H50" s="190" t="str">
        <f t="shared" si="20"/>
        <v>+</v>
      </c>
      <c r="I50" s="190" t="str">
        <f>IF(J50=3,"",IF(AND($N46="F",OR(I$6="Drvr",I$6="Wd 3",I$6="Wd 5",I$6="Wd 7",I$6="fe 5")),"fe 6",I$6))</f>
        <v>Wd 5</v>
      </c>
      <c r="J50" s="189">
        <f>J$6*1</f>
        <v>4</v>
      </c>
      <c r="K50" s="189">
        <f>IF(AND($N46="F",F50="fe 6"),N47,IF(AND($N46="D",F50="Drvr"),N47,VLOOKUP(F50,$X$3:$AJ$18,O$15,FALSE)))</f>
        <v>174</v>
      </c>
      <c r="L50" s="189">
        <f>IF(I50="",0,IF(AND($N46="F",I50="fe 6"),N47,IF(AND($N46="D",I50="Drvr"),N47,VLOOKUP(I50,$X$3:$AJ$18,O$15,FALSE))))</f>
        <v>158</v>
      </c>
      <c r="M50" s="191">
        <f>IF(M$6="",0,M$6*O49)</f>
        <v>0</v>
      </c>
      <c r="N50" s="219"/>
      <c r="O50" s="151">
        <f>MAX(O51:O52)</f>
        <v>150</v>
      </c>
      <c r="P50" s="172">
        <f t="shared" si="18"/>
        <v>1</v>
      </c>
    </row>
    <row r="51" spans="2:16" ht="18.75" customHeight="1" x14ac:dyDescent="0.25">
      <c r="B51" s="174"/>
      <c r="C51" s="175"/>
      <c r="D51" s="130">
        <v>5</v>
      </c>
      <c r="E51" s="189">
        <f t="shared" si="17"/>
        <v>318</v>
      </c>
      <c r="F51" s="190" t="str">
        <f>IF(AND($N46="F",OR(G$7="Drvr",G$7="Wd 3",G$7="Wd 5",G$7="Wd 7",G$7="fe 5")),"fe 6",G$7)</f>
        <v>Wd 3</v>
      </c>
      <c r="G51" s="189">
        <f t="shared" si="19"/>
        <v>2</v>
      </c>
      <c r="H51" s="190" t="str">
        <f t="shared" si="20"/>
        <v>+</v>
      </c>
      <c r="I51" s="190" t="str">
        <f>IF(J51=3,"",IF(AND($N46="F",OR(I$7="Drvr",I$7="Wd 3",I$7="Wd 5",I$7="Wd 7",I$7="fe 5")),"fe 6",I$7))</f>
        <v>sand</v>
      </c>
      <c r="J51" s="189">
        <f>J$7*1</f>
        <v>5</v>
      </c>
      <c r="K51" s="189">
        <f>IF(AND($N46="F",F51="fe 6"),N47,IF(AND($N46="D",F51="Drvr"),N47,VLOOKUP(F51,$X$3:$AJ$18,O$15,FALSE)))</f>
        <v>174</v>
      </c>
      <c r="L51" s="189">
        <f>IF(I51="",0,IF(AND($N46="F",I51="fe 6"),N47,IF(AND($N46="D",I51="Drvr"),N47,VLOOKUP(I51,$X$3:$AJ$18,O$15,FALSE))))</f>
        <v>63</v>
      </c>
      <c r="M51" s="191">
        <f>IF(M$7="",0,M$7*O49)</f>
        <v>81</v>
      </c>
      <c r="N51" s="219"/>
      <c r="O51" s="152">
        <f>IF(N46="F",0,IF(AND(N46="D",ISNA(HLOOKUP(N47,Z$3:AJ$3,1,FALSE))),888,IF(AND(N46="D",HLOOKUP(N47,Z$3:AJ$3,1,FALSE)),N47,)))</f>
        <v>150</v>
      </c>
      <c r="P51" s="172">
        <f t="shared" si="18"/>
        <v>96</v>
      </c>
    </row>
    <row r="52" spans="2:16" ht="18.75" customHeight="1" x14ac:dyDescent="0.25">
      <c r="B52" s="174"/>
      <c r="C52" s="175"/>
      <c r="D52" s="130">
        <v>6</v>
      </c>
      <c r="E52" s="189">
        <f t="shared" si="17"/>
        <v>119</v>
      </c>
      <c r="F52" s="190" t="str">
        <f>IF(AND($N46="F",OR(G$8="Drvr",G$8="Wd 3",G$8="Wd 5",G$8="Wd 7",G$8="fe 5")),"fe 6",G$8)</f>
        <v>sand</v>
      </c>
      <c r="G52" s="189">
        <f t="shared" si="19"/>
        <v>8</v>
      </c>
      <c r="H52" s="190" t="str">
        <f t="shared" si="20"/>
        <v>+</v>
      </c>
      <c r="I52" s="190" t="str">
        <f>IF(J52=3,"",IF(AND($N46="F",OR(I$8="Drvr",I$8="Wd 3",I$8="Wd 5",I$8="Wd 7",I$8="fe 5")),"fe 6",I$8))</f>
        <v>lob</v>
      </c>
      <c r="J52" s="189">
        <f>J$8*1</f>
        <v>4</v>
      </c>
      <c r="K52" s="189">
        <f>IF(AND($N46="F",F52="fe 6"),N47,IF(AND($N46="D",F52="Drvr"),N47,VLOOKUP(F52,$X$3:$AJ$18,O$15,FALSE)))</f>
        <v>63</v>
      </c>
      <c r="L52" s="189">
        <f>IF(I52="",0,IF(AND($N46="F",I52="fe 6"),N47,IF(AND($N46="D",I52="Drvr"),N47,VLOOKUP(I52,$X$3:$AJ$18,O$15,FALSE))))</f>
        <v>56</v>
      </c>
      <c r="M52" s="191">
        <f>IF(M$8="",0,M$8*O49)</f>
        <v>0</v>
      </c>
      <c r="N52" s="219"/>
      <c r="O52" s="153">
        <f>IF(N46="D",0,IF(AND(N46="F",ISNA(HLOOKUP(N47,Z$8:AJ$8,1,FALSE))),999,IF(AND(N46="F",HLOOKUP(N47,Z$8:AJ$8,1,FALSE)),N47)))</f>
        <v>0</v>
      </c>
      <c r="P52" s="172">
        <f t="shared" si="18"/>
        <v>-8</v>
      </c>
    </row>
    <row r="53" spans="2:16" ht="18.75" customHeight="1" x14ac:dyDescent="0.25">
      <c r="B53" s="174"/>
      <c r="C53" s="175"/>
      <c r="D53" s="130">
        <v>7</v>
      </c>
      <c r="E53" s="189">
        <f t="shared" si="17"/>
        <v>141</v>
      </c>
      <c r="F53" s="190" t="str">
        <f>IF(AND($N46="F",OR(G$9="Drvr",G$9="Wd 3",G$9="Wd 5",G$9="Wd 7",G$9="fe 5")),"fe 6",G$9)</f>
        <v>Wd 7</v>
      </c>
      <c r="G53" s="189">
        <f t="shared" si="19"/>
        <v>141</v>
      </c>
      <c r="H53" s="190" t="str">
        <f t="shared" si="20"/>
        <v/>
      </c>
      <c r="I53" s="190" t="str">
        <f>IF(J53=3,"",IF(AND($N46="F",OR(I$9="Drvr",I$9="Wd 3",I$9="Wd 5",I$9="Wd 7",I$9="fe 5")),"fe 6",I$9))</f>
        <v/>
      </c>
      <c r="J53" s="189">
        <f>J$9*1</f>
        <v>3</v>
      </c>
      <c r="K53" s="189">
        <f>IF(AND($N46="F",F53="fe 6"),N47,IF(AND($N46="D",F53="Drvr"),N47,VLOOKUP(F53,$X$3:$AJ$18,O$15,FALSE)))</f>
        <v>141</v>
      </c>
      <c r="L53" s="189">
        <f>IF(I53="",0,IF(AND($N46="F",I53="fe 6"),N47,IF(AND($N46="D",I53="Drvr"),N47,VLOOKUP(I53,$X$3:$AJ$18,O$15,FALSE))))</f>
        <v>0</v>
      </c>
      <c r="M53" s="191">
        <f>IF(M$9="",0,M$9*O49)</f>
        <v>0</v>
      </c>
      <c r="N53" s="219"/>
      <c r="P53" s="167">
        <f t="shared" si="18"/>
        <v>0</v>
      </c>
    </row>
    <row r="54" spans="2:16" ht="18.75" customHeight="1" x14ac:dyDescent="0.25">
      <c r="B54" s="174"/>
      <c r="C54" s="175"/>
      <c r="D54" s="130">
        <v>8</v>
      </c>
      <c r="E54" s="189">
        <f t="shared" si="17"/>
        <v>116</v>
      </c>
      <c r="F54" s="190" t="str">
        <f>IF(AND($N46="F",OR(G$10="Drvr",G$10="Wd 3",G$10="Wd 5",G$10="Wd 7",G$10="fe 5")),"fe 6",G$10)</f>
        <v>fe 6</v>
      </c>
      <c r="G54" s="189">
        <f t="shared" si="19"/>
        <v>116</v>
      </c>
      <c r="H54" s="190" t="str">
        <f t="shared" si="20"/>
        <v/>
      </c>
      <c r="I54" s="190" t="str">
        <f>IF(J54=3,"",IF(AND($N46="F",OR(I$10="Drvr",I$10="Wd 3",I$10="Wd 5",I$10="Wd 7",I$10="fe 5")),"fe 6",I$10))</f>
        <v/>
      </c>
      <c r="J54" s="189">
        <f>J$10*1</f>
        <v>3</v>
      </c>
      <c r="K54" s="189">
        <f>IF(AND($N46="F",F54="fe 6"),N47,IF(AND($N46="D",F54="Drvr"),N47,VLOOKUP(F54,$X$3:$AJ$18,O$15,FALSE)))</f>
        <v>116</v>
      </c>
      <c r="L54" s="189">
        <f>IF(I54="",0,IF(AND($N46="F",I54="fe 6"),N47,IF(AND($N46="D",I54="Drvr"),N47,VLOOKUP(I54,$X$3:$AJ$18,O$15,FALSE))))</f>
        <v>0</v>
      </c>
      <c r="M54" s="191">
        <f>IF(M$10="",0,M$10*O49)</f>
        <v>0</v>
      </c>
      <c r="N54" s="219"/>
      <c r="P54" s="167">
        <f t="shared" si="18"/>
        <v>0</v>
      </c>
    </row>
    <row r="55" spans="2:16" ht="18.75" customHeight="1" x14ac:dyDescent="0.25">
      <c r="B55" s="174"/>
      <c r="C55" s="175"/>
      <c r="D55" s="145">
        <v>9</v>
      </c>
      <c r="E55" s="155">
        <f t="shared" si="17"/>
        <v>82</v>
      </c>
      <c r="F55" s="156" t="str">
        <f>IF(AND($N46="F",OR(G$11="Drvr",G$11="Wd 3",G$11="Wd 5",G$11="Wd 7",G$11="fe 5")),"fe 6",G$11)</f>
        <v>pitch</v>
      </c>
      <c r="G55" s="155">
        <f t="shared" si="19"/>
        <v>82</v>
      </c>
      <c r="H55" s="156" t="str">
        <f t="shared" si="20"/>
        <v/>
      </c>
      <c r="I55" s="156" t="str">
        <f>IF(J55=3,"",IF(AND($N46="F",OR(I$11="Drvr",I$11="Wd 3",I$11="Wd 5",I$11="Wd 7",I$11="fe 5")),"fe 6",I$11))</f>
        <v/>
      </c>
      <c r="J55" s="155">
        <f>J$11*1</f>
        <v>3</v>
      </c>
      <c r="K55" s="155">
        <f>IF(AND($N46="F",F55="fe 6"),N47,IF(AND($N46="D",F55="Drvr"),N47,VLOOKUP(F55,$X$3:$AJ$18,O$15,FALSE)))</f>
        <v>82</v>
      </c>
      <c r="L55" s="155">
        <f>IF(I55="",0,IF(AND($N46="F",I55="fe 6"),N47,IF(AND($N46="D",I55="Drvr"),N47,VLOOKUP(I55,$X$3:$AJ$18,O$15,FALSE))))</f>
        <v>0</v>
      </c>
      <c r="M55" s="157">
        <f>IF(M$11="",0,M$11*O49)</f>
        <v>0</v>
      </c>
      <c r="N55" s="220"/>
      <c r="P55" s="167">
        <f t="shared" si="18"/>
        <v>0</v>
      </c>
    </row>
    <row r="56" spans="2:16" ht="18.75" customHeight="1" x14ac:dyDescent="0.25">
      <c r="B56" s="174"/>
      <c r="C56" s="174"/>
    </row>
    <row r="57" spans="2:16" ht="15.95" customHeight="1" x14ac:dyDescent="0.25"/>
    <row r="58" spans="2:16" ht="15.95" customHeight="1" x14ac:dyDescent="0.25"/>
    <row r="59" spans="2:16" ht="15.95" customHeight="1" x14ac:dyDescent="0.25"/>
  </sheetData>
  <sheetProtection algorithmName="SHA-512" hashValue="by2K8EIXV1dJC50uOmHLJs06oO/Mq4r/ivTuCMP4ISY7FqgWIpGnE/6PcvpGesKxmgkxqtS6GYZgBiasWVrsyw==" saltValue="xRBz/FLKknxpEvrIlh6T2Q==" spinCount="100000" sheet="1" objects="1" scenarios="1" selectLockedCells="1"/>
  <mergeCells count="7">
    <mergeCell ref="C3:C11"/>
    <mergeCell ref="N15:N22"/>
    <mergeCell ref="N48:N55"/>
    <mergeCell ref="N37:N44"/>
    <mergeCell ref="Y2:Z2"/>
    <mergeCell ref="N3:N11"/>
    <mergeCell ref="N26:N33"/>
  </mergeCells>
  <conditionalFormatting sqref="N46:N47">
    <cfRule type="expression" dxfId="4" priority="19">
      <formula>$N$47&lt;&gt;$O$50</formula>
    </cfRule>
  </conditionalFormatting>
  <conditionalFormatting sqref="N13:N14">
    <cfRule type="expression" dxfId="3" priority="20">
      <formula>$N$14&lt;&gt;$O$17</formula>
    </cfRule>
  </conditionalFormatting>
  <conditionalFormatting sqref="N24:N25">
    <cfRule type="expression" dxfId="2" priority="3">
      <formula>$N$25&lt;&gt;$O$28</formula>
    </cfRule>
  </conditionalFormatting>
  <conditionalFormatting sqref="N35:N36">
    <cfRule type="expression" dxfId="1" priority="2">
      <formula>$N$36&lt;&gt;$O$39</formula>
    </cfRule>
  </conditionalFormatting>
  <conditionalFormatting sqref="L14:M55">
    <cfRule type="cellIs" dxfId="0" priority="1" operator="equal">
      <formula>0</formula>
    </cfRule>
  </conditionalFormatting>
  <dataValidations count="3">
    <dataValidation type="textLength" allowBlank="1" showInputMessage="1" showErrorMessage="1" sqref="N26:N33 N15:N22 N37:N44 N48:N55">
      <formula1>0</formula1>
      <formula2>12</formula2>
    </dataValidation>
    <dataValidation type="list" allowBlank="1" showInputMessage="1" showErrorMessage="1" error="SOLO:_x000a_D = driver, sacca completa_x000a_F = solo ferri" sqref="N13 N24 N35 N46">
      <formula1>$O$10:$O$12</formula1>
    </dataValidation>
    <dataValidation type="list" allowBlank="1" showInputMessage="1" showErrorMessage="1" error="I VALORI DEVI SELEZIONARLI DAL MENU' A TENDINA IN ACCORDO COL BASTONE SELEZIONATO._x000a_D = TUTTI I BASTONI_x000a_F = SOLO I FERRI DAL 6 IN GIU'." sqref="N14 N47 N36 N25">
      <formula1>$Z$3:$AQ$3</formula1>
    </dataValidation>
  </dataValidations>
  <printOptions horizontalCentered="1" verticalCentered="1"/>
  <pageMargins left="0" right="0" top="0" bottom="0" header="0" footer="0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gioco</vt:lpstr>
      <vt:lpstr>bastoni</vt:lpstr>
      <vt:lpstr>tabelle</vt:lpstr>
      <vt:lpstr>x word</vt:lpstr>
      <vt:lpstr>SCORE</vt:lpstr>
      <vt:lpstr>SCORE!Area_stampa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2019-02-25T12:00:04Z</cp:lastPrinted>
  <dcterms:created xsi:type="dcterms:W3CDTF">2018-10-22T16:19:23Z</dcterms:created>
  <dcterms:modified xsi:type="dcterms:W3CDTF">2019-02-25T12:40:01Z</dcterms:modified>
</cp:coreProperties>
</file>